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po\Documents\"/>
    </mc:Choice>
  </mc:AlternateContent>
  <bookViews>
    <workbookView xWindow="330" yWindow="15" windowWidth="11340" windowHeight="6540" tabRatio="188" firstSheet="1" activeTab="1"/>
  </bookViews>
  <sheets>
    <sheet name="Jr. Beregning Opr." sheetId="1" state="hidden" r:id="rId1"/>
    <sheet name="Jr. Beregning Ny " sheetId="3" r:id="rId2"/>
  </sheets>
  <calcPr calcId="152511"/>
</workbook>
</file>

<file path=xl/calcChain.xml><?xml version="1.0" encoding="utf-8"?>
<calcChain xmlns="http://schemas.openxmlformats.org/spreadsheetml/2006/main">
  <c r="Q27" i="3" l="1"/>
  <c r="P27" i="3"/>
  <c r="P7" i="3"/>
  <c r="Q7" i="3" s="1"/>
  <c r="T7" i="3" s="1"/>
  <c r="P8" i="3"/>
  <c r="Q8" i="3" s="1"/>
  <c r="T8" i="3" s="1"/>
  <c r="P9" i="3"/>
  <c r="Q9" i="3" s="1"/>
  <c r="T9" i="3" s="1"/>
  <c r="P10" i="3"/>
  <c r="Q10" i="3" s="1"/>
  <c r="P11" i="3"/>
  <c r="Q11" i="3" s="1"/>
  <c r="T11" i="3" s="1"/>
  <c r="P12" i="3"/>
  <c r="Q12" i="3" s="1"/>
  <c r="T12" i="3" s="1"/>
  <c r="P13" i="3"/>
  <c r="Q13" i="3" s="1"/>
  <c r="P14" i="3"/>
  <c r="Q14" i="3" s="1"/>
  <c r="T14" i="3" s="1"/>
  <c r="P15" i="3"/>
  <c r="Q15" i="3" s="1"/>
  <c r="T15" i="3" s="1"/>
  <c r="P16" i="3"/>
  <c r="Q16" i="3" s="1"/>
  <c r="T16" i="3" s="1"/>
  <c r="P17" i="3"/>
  <c r="Q17" i="3" s="1"/>
  <c r="T17" i="3" s="1"/>
  <c r="P18" i="3"/>
  <c r="Q18" i="3" s="1"/>
  <c r="P19" i="3"/>
  <c r="Q19" i="3" s="1"/>
  <c r="T19" i="3" s="1"/>
  <c r="P20" i="3"/>
  <c r="Q20" i="3" s="1"/>
  <c r="T20" i="3" s="1"/>
  <c r="P21" i="3"/>
  <c r="Q21" i="3" s="1"/>
  <c r="T21" i="3" s="1"/>
  <c r="P22" i="3"/>
  <c r="Q22" i="3" s="1"/>
  <c r="T22" i="3" s="1"/>
  <c r="P23" i="3"/>
  <c r="Q23" i="3" s="1"/>
  <c r="T23" i="3" s="1"/>
  <c r="P6" i="3"/>
  <c r="P25" i="3" l="1"/>
  <c r="P29" i="3" s="1"/>
  <c r="Q6" i="3"/>
  <c r="T6" i="3" s="1"/>
  <c r="H8" i="3" l="1"/>
  <c r="L27" i="3" l="1"/>
  <c r="K32" i="3"/>
  <c r="R27" i="3"/>
  <c r="T27" i="3"/>
  <c r="M21" i="3" l="1"/>
  <c r="M27" i="3"/>
  <c r="M12" i="3"/>
  <c r="M9" i="3"/>
  <c r="M15" i="3"/>
  <c r="M7" i="3"/>
  <c r="M8" i="3"/>
  <c r="M11" i="3"/>
  <c r="M14" i="3"/>
  <c r="M16" i="3"/>
  <c r="M17" i="3"/>
  <c r="M19" i="3"/>
  <c r="M20" i="3"/>
  <c r="M22" i="3"/>
  <c r="M23" i="3"/>
  <c r="M6" i="3"/>
  <c r="K27" i="3"/>
  <c r="K7" i="3"/>
  <c r="K8" i="3"/>
  <c r="K9" i="3"/>
  <c r="K11" i="3"/>
  <c r="K12" i="3"/>
  <c r="K14" i="3"/>
  <c r="K15" i="3"/>
  <c r="K16" i="3"/>
  <c r="K17" i="3"/>
  <c r="K18" i="3"/>
  <c r="K19" i="3"/>
  <c r="K20" i="3"/>
  <c r="K21" i="3"/>
  <c r="K22" i="3"/>
  <c r="K23" i="3"/>
  <c r="K6" i="3"/>
  <c r="R6" i="3" s="1"/>
  <c r="R19" i="3" l="1"/>
  <c r="R22" i="3"/>
  <c r="R14" i="3"/>
  <c r="R8" i="3"/>
  <c r="R23" i="3"/>
  <c r="R9" i="3"/>
  <c r="R12" i="3"/>
  <c r="R15" i="3"/>
  <c r="R21" i="3"/>
  <c r="R17" i="3"/>
  <c r="R7" i="3"/>
  <c r="R20" i="3"/>
  <c r="R16" i="3"/>
  <c r="R11" i="3"/>
  <c r="Q25" i="3" l="1"/>
  <c r="Q29" i="3" s="1"/>
  <c r="R25" i="3"/>
  <c r="T25" i="3" l="1"/>
  <c r="T29" i="3" s="1"/>
  <c r="R29" i="3"/>
  <c r="P34" i="3" s="1"/>
  <c r="N27" i="3" l="1"/>
  <c r="D43" i="3"/>
  <c r="D40" i="3" l="1"/>
  <c r="D38" i="3"/>
  <c r="G25" i="3" l="1"/>
  <c r="G29" i="3" s="1"/>
  <c r="H6" i="3" l="1"/>
  <c r="D25" i="3" l="1"/>
  <c r="D29" i="3" s="1"/>
  <c r="E25" i="3"/>
  <c r="M25" i="3"/>
  <c r="K25" i="3"/>
  <c r="D46" i="3"/>
  <c r="H7" i="3"/>
  <c r="H9" i="3"/>
  <c r="H11" i="3"/>
  <c r="H12" i="3"/>
  <c r="H14" i="3"/>
  <c r="H15" i="3"/>
  <c r="H16" i="3"/>
  <c r="H17" i="3"/>
  <c r="H19" i="3"/>
  <c r="H20" i="3"/>
  <c r="H21" i="3"/>
  <c r="H22" i="3"/>
  <c r="H23" i="3"/>
  <c r="H27" i="3"/>
  <c r="F7" i="3"/>
  <c r="F8" i="3"/>
  <c r="F9" i="3"/>
  <c r="F11" i="3"/>
  <c r="F12" i="3"/>
  <c r="F14" i="3"/>
  <c r="F15" i="3"/>
  <c r="F16" i="3"/>
  <c r="F17" i="3"/>
  <c r="F19" i="3"/>
  <c r="F20" i="3"/>
  <c r="F21" i="3"/>
  <c r="F22" i="3"/>
  <c r="F23" i="3"/>
  <c r="F27" i="3"/>
  <c r="F6" i="3"/>
  <c r="K35" i="3" l="1"/>
  <c r="H29" i="3"/>
  <c r="P35" i="3"/>
  <c r="P33" i="3" s="1"/>
  <c r="D48" i="3"/>
  <c r="M29" i="3"/>
  <c r="F25" i="3"/>
  <c r="E29" i="3"/>
  <c r="F29" i="3" s="1"/>
  <c r="K29" i="3"/>
  <c r="K34" i="3" s="1"/>
  <c r="H25" i="3"/>
  <c r="N8" i="1"/>
  <c r="M8" i="1"/>
  <c r="K44" i="1"/>
  <c r="L35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8" i="1"/>
  <c r="F34" i="1"/>
  <c r="I44" i="1"/>
  <c r="C47" i="1"/>
  <c r="S6" i="3" l="1"/>
  <c r="U6" i="3" s="1"/>
  <c r="S9" i="3"/>
  <c r="P32" i="3"/>
  <c r="S27" i="3"/>
  <c r="U27" i="3" s="1"/>
  <c r="S16" i="3"/>
  <c r="U16" i="3" s="1"/>
  <c r="S11" i="3"/>
  <c r="U11" i="3" s="1"/>
  <c r="S7" i="3"/>
  <c r="U7" i="3" s="1"/>
  <c r="S19" i="3"/>
  <c r="U19" i="3" s="1"/>
  <c r="S20" i="3"/>
  <c r="U20" i="3" s="1"/>
  <c r="S17" i="3"/>
  <c r="U17" i="3" s="1"/>
  <c r="S21" i="3"/>
  <c r="U21" i="3" s="1"/>
  <c r="S15" i="3"/>
  <c r="U15" i="3" s="1"/>
  <c r="S12" i="3"/>
  <c r="U12" i="3" s="1"/>
  <c r="S8" i="3"/>
  <c r="U8" i="3" s="1"/>
  <c r="S14" i="3"/>
  <c r="U14" i="3" s="1"/>
  <c r="U9" i="3"/>
  <c r="S22" i="3"/>
  <c r="U22" i="3" s="1"/>
  <c r="S23" i="3"/>
  <c r="U23" i="3" s="1"/>
  <c r="G53" i="1"/>
  <c r="F53" i="1"/>
  <c r="U25" i="3" l="1"/>
  <c r="U29" i="3" s="1"/>
  <c r="S25" i="3"/>
  <c r="S29" i="3" s="1"/>
  <c r="N23" i="3"/>
  <c r="N9" i="3"/>
  <c r="N8" i="3"/>
  <c r="N22" i="3"/>
  <c r="N17" i="3"/>
  <c r="N20" i="3"/>
  <c r="N19" i="3"/>
  <c r="N15" i="3"/>
  <c r="N12" i="3"/>
  <c r="N11" i="3"/>
  <c r="N7" i="3"/>
  <c r="N14" i="3"/>
  <c r="N16" i="3"/>
  <c r="N21" i="3"/>
  <c r="N6" i="3"/>
  <c r="L25" i="3"/>
  <c r="L29" i="3" s="1"/>
  <c r="K9" i="1"/>
  <c r="K10" i="1"/>
  <c r="K12" i="1"/>
  <c r="K13" i="1"/>
  <c r="K14" i="1"/>
  <c r="K15" i="1"/>
  <c r="K17" i="1"/>
  <c r="K18" i="1"/>
  <c r="K20" i="1"/>
  <c r="K21" i="1"/>
  <c r="K22" i="1"/>
  <c r="K26" i="1"/>
  <c r="K28" i="1"/>
  <c r="K29" i="1"/>
  <c r="K30" i="1"/>
  <c r="K8" i="1"/>
  <c r="J32" i="1"/>
  <c r="J38" i="1" s="1"/>
  <c r="H55" i="1"/>
  <c r="H53" i="1"/>
  <c r="B58" i="1"/>
  <c r="M13" i="1"/>
  <c r="M27" i="1"/>
  <c r="M9" i="1"/>
  <c r="M10" i="1"/>
  <c r="M11" i="1"/>
  <c r="M14" i="1"/>
  <c r="M15" i="1"/>
  <c r="M16" i="1"/>
  <c r="M19" i="1"/>
  <c r="M20" i="1"/>
  <c r="M21" i="1"/>
  <c r="M23" i="1"/>
  <c r="M24" i="1"/>
  <c r="M25" i="1"/>
  <c r="M26" i="1"/>
  <c r="M28" i="1"/>
  <c r="N25" i="3" l="1"/>
  <c r="N29" i="3" s="1"/>
  <c r="I53" i="1"/>
  <c r="M18" i="1"/>
  <c r="M32" i="1"/>
  <c r="L32" i="1"/>
  <c r="L38" i="1" s="1"/>
  <c r="C50" i="1" l="1"/>
  <c r="I46" i="1"/>
  <c r="H38" i="1"/>
  <c r="G36" i="1"/>
  <c r="I32" i="1"/>
  <c r="I38" i="1" s="1"/>
  <c r="H32" i="1"/>
  <c r="C32" i="1"/>
  <c r="G27" i="1"/>
  <c r="K27" i="1" s="1"/>
  <c r="G25" i="1"/>
  <c r="K25" i="1" s="1"/>
  <c r="G24" i="1"/>
  <c r="K24" i="1" s="1"/>
  <c r="G23" i="1"/>
  <c r="K23" i="1" s="1"/>
  <c r="G19" i="1"/>
  <c r="K19" i="1" s="1"/>
  <c r="G16" i="1"/>
  <c r="K16" i="1" s="1"/>
  <c r="G11" i="1"/>
  <c r="K11" i="1" s="1"/>
  <c r="C43" i="1"/>
  <c r="C41" i="1"/>
  <c r="B35" i="1"/>
  <c r="D35" i="1" s="1"/>
  <c r="B28" i="1"/>
  <c r="D28" i="1" s="1"/>
  <c r="B21" i="1"/>
  <c r="D21" i="1" s="1"/>
  <c r="B20" i="1"/>
  <c r="D20" i="1" s="1"/>
  <c r="B19" i="1"/>
  <c r="D19" i="1" s="1"/>
  <c r="B27" i="1"/>
  <c r="D27" i="1" s="1"/>
  <c r="B15" i="1"/>
  <c r="D15" i="1" s="1"/>
  <c r="B11" i="1"/>
  <c r="D11" i="1" s="1"/>
  <c r="B25" i="1"/>
  <c r="D25" i="1" s="1"/>
  <c r="B26" i="1"/>
  <c r="D26" i="1" s="1"/>
  <c r="B14" i="1"/>
  <c r="D14" i="1" s="1"/>
  <c r="B8" i="1"/>
  <c r="D8" i="1" s="1"/>
  <c r="B18" i="1"/>
  <c r="D18" i="1" s="1"/>
  <c r="B13" i="1"/>
  <c r="D13" i="1" s="1"/>
  <c r="B10" i="1"/>
  <c r="D10" i="1" s="1"/>
  <c r="B9" i="1"/>
  <c r="D9" i="1" s="1"/>
  <c r="B24" i="1"/>
  <c r="D24" i="1" s="1"/>
  <c r="B16" i="1"/>
  <c r="D16" i="1" s="1"/>
  <c r="B23" i="1"/>
  <c r="D23" i="1" s="1"/>
  <c r="K32" i="1" l="1"/>
  <c r="I47" i="1"/>
  <c r="I49" i="1"/>
  <c r="C38" i="1"/>
  <c r="G32" i="1"/>
  <c r="G38" i="1" s="1"/>
  <c r="B32" i="1"/>
  <c r="D32" i="1" s="1"/>
  <c r="B38" i="1" l="1"/>
  <c r="D38" i="1" s="1"/>
  <c r="C51" i="1" l="1"/>
  <c r="C55" i="1" s="1"/>
  <c r="G55" i="1" l="1"/>
  <c r="I55" i="1" s="1"/>
  <c r="F55" i="1"/>
  <c r="N13" i="1" l="1"/>
  <c r="O13" i="1" s="1"/>
  <c r="N17" i="1"/>
  <c r="O17" i="1" s="1"/>
  <c r="N29" i="1"/>
  <c r="N16" i="1"/>
  <c r="O16" i="1" s="1"/>
  <c r="N28" i="1"/>
  <c r="O28" i="1" s="1"/>
  <c r="N22" i="1"/>
  <c r="O22" i="1" s="1"/>
  <c r="N15" i="1"/>
  <c r="O15" i="1" s="1"/>
  <c r="N27" i="1"/>
  <c r="O27" i="1" s="1"/>
  <c r="N12" i="1"/>
  <c r="O12" i="1" s="1"/>
  <c r="N24" i="1"/>
  <c r="O24" i="1" s="1"/>
  <c r="N18" i="1"/>
  <c r="O18" i="1" s="1"/>
  <c r="N19" i="1"/>
  <c r="O19" i="1" s="1"/>
  <c r="N26" i="1"/>
  <c r="O26" i="1" s="1"/>
  <c r="N21" i="1"/>
  <c r="O21" i="1" s="1"/>
  <c r="N23" i="1"/>
  <c r="O23" i="1" s="1"/>
  <c r="N11" i="1"/>
  <c r="O11" i="1" s="1"/>
  <c r="N14" i="1"/>
  <c r="O14" i="1" s="1"/>
  <c r="N9" i="1"/>
  <c r="O9" i="1" s="1"/>
  <c r="O8" i="1"/>
  <c r="N20" i="1"/>
  <c r="O20" i="1" s="1"/>
  <c r="N10" i="1"/>
  <c r="O10" i="1" s="1"/>
  <c r="N25" i="1"/>
  <c r="O25" i="1" s="1"/>
  <c r="O32" i="1" l="1"/>
  <c r="N32" i="1"/>
</calcChain>
</file>

<file path=xl/comments1.xml><?xml version="1.0" encoding="utf-8"?>
<comments xmlns="http://schemas.openxmlformats.org/spreadsheetml/2006/main">
  <authors>
    <author>Jette Poulsen</author>
  </authors>
  <commentList>
    <comment ref="D43" authorId="0" shapeId="0">
      <text>
        <r>
          <rPr>
            <b/>
            <sz val="9"/>
            <color indexed="81"/>
            <rFont val="Tahoma"/>
            <family val="2"/>
          </rPr>
          <t>Jette Poulsen:</t>
        </r>
        <r>
          <rPr>
            <sz val="9"/>
            <color indexed="81"/>
            <rFont val="Tahoma"/>
            <family val="2"/>
          </rPr>
          <t xml:space="preserve">
tillagt 5 mdr. for 3 klubber som lukker 1.8.18
</t>
        </r>
      </text>
    </comment>
  </commentList>
</comments>
</file>

<file path=xl/sharedStrings.xml><?xml version="1.0" encoding="utf-8"?>
<sst xmlns="http://schemas.openxmlformats.org/spreadsheetml/2006/main" count="145" uniqueCount="108">
  <si>
    <t>Forslag til ny tildelingsmodel til juniorklubber (og SFO2) ?</t>
  </si>
  <si>
    <t>Foreløbig fordelt i 2018</t>
  </si>
  <si>
    <t>Budget 376 01 110-06</t>
  </si>
  <si>
    <t xml:space="preserve">Budget i alt </t>
  </si>
  <si>
    <t>Blåbjergskolen - Nr. Nebel afd.</t>
  </si>
  <si>
    <t>Lykkesgårdskolen</t>
  </si>
  <si>
    <t>I alt</t>
  </si>
  <si>
    <t xml:space="preserve">Faktiske                                              juniorklub  pr. 5/9-2017                              </t>
  </si>
  <si>
    <t xml:space="preserve">Samlet antal elever i 4..6. kl. </t>
  </si>
  <si>
    <t>Tilmeldte i % af potientiel-le brugere</t>
  </si>
  <si>
    <t>Juniorklub-bens åb-ningsdage</t>
  </si>
  <si>
    <t>Agerbæk Skole</t>
  </si>
  <si>
    <t>80 kr./md.</t>
  </si>
  <si>
    <t>Alslev Skole</t>
  </si>
  <si>
    <t>200 kr. /md.</t>
  </si>
  <si>
    <t>Ansager Skole</t>
  </si>
  <si>
    <t>100 kr./md.</t>
  </si>
  <si>
    <t>Blåbjergskolen - Lunde-Kvong afd.</t>
  </si>
  <si>
    <t>0 kr./md.</t>
  </si>
  <si>
    <t>Brorsonskolen</t>
  </si>
  <si>
    <t>Horne Skole</t>
  </si>
  <si>
    <t>Janderup Skole</t>
  </si>
  <si>
    <t>Nordenskov Skole</t>
  </si>
  <si>
    <t>Næsbjerg Skole</t>
  </si>
  <si>
    <t>100 kr./½ år</t>
  </si>
  <si>
    <t>Outrup Skole</t>
  </si>
  <si>
    <t>50 kr./md.</t>
  </si>
  <si>
    <t>Sct. Jacobi Skole</t>
  </si>
  <si>
    <t>Starup Skole</t>
  </si>
  <si>
    <t>Thorstrup Skole</t>
  </si>
  <si>
    <t>200 kr. /½ år</t>
  </si>
  <si>
    <t>Tistrup Skole</t>
  </si>
  <si>
    <t>Ølgod Skole</t>
  </si>
  <si>
    <t>Årre Skole</t>
  </si>
  <si>
    <t>Billum</t>
  </si>
  <si>
    <t>Samlede tal</t>
  </si>
  <si>
    <t>SFO2</t>
  </si>
  <si>
    <t>Blavandshuk skole-Samuelsgården</t>
  </si>
  <si>
    <t>Regulering forældrebetaling i forhold til indmeldte børn</t>
  </si>
  <si>
    <t>510 kr./md.</t>
  </si>
  <si>
    <t>Tildeling pr. barn</t>
  </si>
  <si>
    <t>Minimumstildeling</t>
  </si>
  <si>
    <t xml:space="preserve"> (2017-pris)</t>
  </si>
  <si>
    <t xml:space="preserve">Børn tilmeldt  pr. 5/9-2017 </t>
  </si>
  <si>
    <t>Årlig forventet kontingent</t>
  </si>
  <si>
    <t>Kontingent gl. ordning</t>
  </si>
  <si>
    <t>Gens. fremmøde i uge 35 + 36 2017</t>
  </si>
  <si>
    <t>gens. fremmøde maj + sept. 2017</t>
  </si>
  <si>
    <t>Budget 2018:</t>
  </si>
  <si>
    <t>Tilskud fordelt i 2018 pr. fremmødebarn</t>
  </si>
  <si>
    <t>i gens. incl. minimumstildeling</t>
  </si>
  <si>
    <t>Tilskud fordelt ex. lukkede klubber</t>
  </si>
  <si>
    <t>Lukning Billum</t>
  </si>
  <si>
    <t xml:space="preserve">pr. måned i 11 mdr. </t>
  </si>
  <si>
    <t>Årlig kontingent ved</t>
  </si>
  <si>
    <t>Tilskud til Samuelsgården</t>
  </si>
  <si>
    <t>Budget excl. Samuelsgården</t>
  </si>
  <si>
    <t>Gens. tilmeldte/-fremmøde</t>
  </si>
  <si>
    <t>Kontingent pr. måned i 11 mdr.</t>
  </si>
  <si>
    <t>Årlig kontingent pr. barn</t>
  </si>
  <si>
    <t>Gens. tilskud pr. fremmødebarn</t>
  </si>
  <si>
    <t>Gens. tilskud pr. gens. barn</t>
  </si>
  <si>
    <t>Fremmødebørn i klubber, der lukker</t>
  </si>
  <si>
    <t>Fremmødebørn herefter</t>
  </si>
  <si>
    <t>excl. lukkede</t>
  </si>
  <si>
    <t>kontingent</t>
  </si>
  <si>
    <t>Foreløbig tildeling i 2018</t>
  </si>
  <si>
    <t>Ny tildeling</t>
  </si>
  <si>
    <t>incl. kontingent</t>
  </si>
  <si>
    <t>Forskel</t>
  </si>
  <si>
    <t>incl. evt. kontingent</t>
  </si>
  <si>
    <t>Nyt forslag</t>
  </si>
  <si>
    <t>Dok. 38922-18</t>
  </si>
  <si>
    <t>Lukning pga struktur 3 klubber</t>
  </si>
  <si>
    <t>Tildeling pr. barn.</t>
  </si>
  <si>
    <r>
      <t xml:space="preserve">Samlet segment
</t>
    </r>
    <r>
      <rPr>
        <sz val="8"/>
        <rFont val="Arial"/>
        <family val="2"/>
      </rPr>
      <t>Elever i 4..6 kl.</t>
    </r>
  </si>
  <si>
    <r>
      <t xml:space="preserve">Børn tilmeldt
</t>
    </r>
    <r>
      <rPr>
        <sz val="8"/>
        <rFont val="Arial"/>
        <family val="2"/>
      </rPr>
      <t>pr. 5/3-2018</t>
    </r>
  </si>
  <si>
    <t>Total i alt:</t>
  </si>
  <si>
    <t>(%)</t>
  </si>
  <si>
    <r>
      <t xml:space="preserve">Blåvandshuk Skole </t>
    </r>
    <r>
      <rPr>
        <sz val="8"/>
        <rFont val="Arial"/>
        <family val="2"/>
      </rPr>
      <t>(Samuelsgården)</t>
    </r>
  </si>
  <si>
    <r>
      <t xml:space="preserve">Kontingent
</t>
    </r>
    <r>
      <rPr>
        <sz val="8"/>
        <rFont val="Arial"/>
        <family val="2"/>
      </rPr>
      <t>(gl. ordning)</t>
    </r>
  </si>
  <si>
    <t>(kr)</t>
  </si>
  <si>
    <t>Lukning af Billum</t>
  </si>
  <si>
    <t>Lukning pga. struktur 3 klubber</t>
  </si>
  <si>
    <t>Budget i alt</t>
  </si>
  <si>
    <r>
      <t>Budget i alt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>(excl. Samuelsgården)</t>
    </r>
  </si>
  <si>
    <t xml:space="preserve">Total
</t>
  </si>
  <si>
    <r>
      <t xml:space="preserve">Fremmøde børn
</t>
    </r>
    <r>
      <rPr>
        <sz val="8"/>
        <rFont val="Arial"/>
        <family val="2"/>
      </rPr>
      <t>(15/3-2018)</t>
    </r>
  </si>
  <si>
    <t>(2018 Pris)</t>
  </si>
  <si>
    <t>Tilskud til Samuelsgården  excl. Forældrebetaling</t>
  </si>
  <si>
    <t xml:space="preserve">Forslag til ny tildelingsmodel
til juniorkluber og SFO 2 </t>
  </si>
  <si>
    <r>
      <t xml:space="preserve">Tilskud
</t>
    </r>
    <r>
      <rPr>
        <sz val="8"/>
        <rFont val="Arial"/>
        <family val="2"/>
      </rPr>
      <t>(11.944 kr. pr. barn)</t>
    </r>
  </si>
  <si>
    <r>
      <t xml:space="preserve">Kontingent
</t>
    </r>
    <r>
      <rPr>
        <sz val="8"/>
        <rFont val="Arial"/>
        <family val="2"/>
      </rPr>
      <t>(gl. ordning 11 mdr. )</t>
    </r>
  </si>
  <si>
    <r>
      <t xml:space="preserve">Fremmøde børn
</t>
    </r>
    <r>
      <rPr>
        <sz val="9"/>
        <rFont val="Arial"/>
        <family val="2"/>
      </rPr>
      <t>(1</t>
    </r>
    <r>
      <rPr>
        <sz val="8"/>
        <rFont val="Arial"/>
        <family val="2"/>
      </rPr>
      <t>5/3-2018)</t>
    </r>
  </si>
  <si>
    <r>
      <t xml:space="preserve">Tilskud
</t>
    </r>
    <r>
      <rPr>
        <sz val="8"/>
        <rFont val="Arial"/>
        <family val="2"/>
      </rPr>
      <t>(12.293 kr. pr. barn)</t>
    </r>
  </si>
  <si>
    <r>
      <t xml:space="preserve">Kontingent
</t>
    </r>
    <r>
      <rPr>
        <sz val="8"/>
        <rFont val="Arial"/>
        <family val="2"/>
      </rPr>
      <t>(min. 100 kr. pr. måned)</t>
    </r>
  </si>
  <si>
    <r>
      <t xml:space="preserve">Nuværende tildeling </t>
    </r>
    <r>
      <rPr>
        <sz val="8"/>
        <color theme="1"/>
        <rFont val="Arial"/>
        <family val="2"/>
      </rPr>
      <t>-                                                                                    Minimumstildeling og frivillig kontingent</t>
    </r>
  </si>
  <si>
    <t>Minimumstildeling til 17 børn</t>
  </si>
  <si>
    <t>Frivillig kontingent</t>
  </si>
  <si>
    <t xml:space="preserve">Min. kontingent pr. måned </t>
  </si>
  <si>
    <t xml:space="preserve">Samlede antal børn.  </t>
  </si>
  <si>
    <t xml:space="preserve">Budget 2018   </t>
  </si>
  <si>
    <t>Antal tilmeldte pr. 5/9-2018 skønnet som 50% af segment</t>
  </si>
  <si>
    <t>Tilmeldte børn
pr. 5/9-2018</t>
  </si>
  <si>
    <t>Minimumstildeling til 12 børn</t>
  </si>
  <si>
    <r>
      <t>Model 1 i f.h.t. fremmøde med minimumstildeling -</t>
    </r>
    <r>
      <rPr>
        <sz val="8"/>
        <color theme="1"/>
        <rFont val="Arial"/>
        <family val="2"/>
      </rPr>
      <t xml:space="preserve"> obl. kontingent</t>
    </r>
  </si>
  <si>
    <r>
      <t xml:space="preserve">Frem-møde børn
</t>
    </r>
    <r>
      <rPr>
        <sz val="8"/>
        <rFont val="Arial"/>
        <family val="2"/>
      </rPr>
      <t>15/3-2018</t>
    </r>
  </si>
  <si>
    <t>Model 1 - Arbejdsgruppens forslag til ny tildelingsmodel til juniorklubber og SFO2 fra august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</si>
</sst>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_(* #,##0.00_);_(* \(#,##0.00\);_(* &quot;-&quot;??_);_(@_)"/>
    <numFmt numFmtId="165" formatCode="_(* #,##0_);_(* \(#,##0\);_(* &quot;-&quot;_);_(@_)"/>
    <numFmt numFmtId="166" formatCode="_ * #,##0.0_ ;_ * \-#,##0.0_ ;_ * &quot;-&quot;_ ;_ @_ "/>
    <numFmt numFmtId="167" formatCode="0.0%"/>
    <numFmt numFmtId="168" formatCode="_ * #,##0_ ;_ * \-#,##0_ ;_ * &quot;-&quot;??_ ;_ @_ "/>
    <numFmt numFmtId="169" formatCode="_(* #,##0.0_);_(* \(#,##0.0\);_(* &quot;-&quot;_);_(@_)"/>
    <numFmt numFmtId="170" formatCode="0\ &quot;kr. /mdr.&quot;"/>
    <numFmt numFmtId="171" formatCode="0\ &quot;kr. /½ år&quot;"/>
    <numFmt numFmtId="172" formatCode="0.00\ &quot;%&quot;"/>
  </numFmts>
  <fonts count="20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rgb="FFFF0000"/>
      <name val="Arial"/>
      <family val="2"/>
    </font>
    <font>
      <u/>
      <sz val="10"/>
      <name val="Arial"/>
      <family val="2"/>
    </font>
    <font>
      <sz val="9"/>
      <color theme="1"/>
      <name val="Arial"/>
      <family val="2"/>
    </font>
    <font>
      <b/>
      <sz val="16"/>
      <color theme="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rgb="FF333333"/>
      <name val="Arial"/>
      <family val="2"/>
    </font>
    <font>
      <sz val="8"/>
      <color rgb="FF333333"/>
      <name val="Arial"/>
      <family val="2"/>
    </font>
    <font>
      <b/>
      <u/>
      <sz val="10"/>
      <name val="Arial"/>
      <family val="2"/>
    </font>
    <font>
      <sz val="8"/>
      <color theme="1"/>
      <name val="Arial"/>
      <family val="2"/>
    </font>
    <font>
      <sz val="10"/>
      <color rgb="FFFF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ck">
        <color rgb="FFE37222"/>
      </bottom>
      <diagonal/>
    </border>
    <border>
      <left style="thick">
        <color rgb="FFE37222"/>
      </left>
      <right/>
      <top style="thick">
        <color rgb="FFE37222"/>
      </top>
      <bottom style="medium">
        <color rgb="FFE37222"/>
      </bottom>
      <diagonal/>
    </border>
    <border>
      <left/>
      <right/>
      <top style="thick">
        <color rgb="FFE37222"/>
      </top>
      <bottom style="medium">
        <color rgb="FFE37222"/>
      </bottom>
      <diagonal/>
    </border>
    <border>
      <left/>
      <right style="thick">
        <color rgb="FFE37222"/>
      </right>
      <top style="thick">
        <color rgb="FFE37222"/>
      </top>
      <bottom style="medium">
        <color rgb="FFE37222"/>
      </bottom>
      <diagonal/>
    </border>
    <border>
      <left style="thick">
        <color rgb="FFE37222"/>
      </left>
      <right/>
      <top/>
      <bottom/>
      <diagonal/>
    </border>
    <border>
      <left/>
      <right style="thick">
        <color rgb="FFE37222"/>
      </right>
      <top/>
      <bottom/>
      <diagonal/>
    </border>
    <border>
      <left style="thick">
        <color rgb="FFE37222"/>
      </left>
      <right/>
      <top style="dotted">
        <color rgb="FFE37222"/>
      </top>
      <bottom style="thick">
        <color rgb="FFE37222"/>
      </bottom>
      <diagonal/>
    </border>
    <border>
      <left/>
      <right/>
      <top style="dotted">
        <color rgb="FFE37222"/>
      </top>
      <bottom style="thick">
        <color rgb="FFE37222"/>
      </bottom>
      <diagonal/>
    </border>
    <border>
      <left/>
      <right style="thick">
        <color rgb="FFE37222"/>
      </right>
      <top style="dotted">
        <color rgb="FFE37222"/>
      </top>
      <bottom style="thick">
        <color rgb="FFE37222"/>
      </bottom>
      <diagonal/>
    </border>
    <border>
      <left style="thick">
        <color rgb="FFE37222"/>
      </left>
      <right/>
      <top style="dotted">
        <color rgb="FFE37222"/>
      </top>
      <bottom style="dotted">
        <color rgb="FFE37222"/>
      </bottom>
      <diagonal/>
    </border>
    <border>
      <left/>
      <right/>
      <top style="dotted">
        <color rgb="FFE37222"/>
      </top>
      <bottom style="dotted">
        <color rgb="FFE37222"/>
      </bottom>
      <diagonal/>
    </border>
    <border>
      <left/>
      <right style="thick">
        <color rgb="FFE37222"/>
      </right>
      <top style="dotted">
        <color rgb="FFE37222"/>
      </top>
      <bottom style="dotted">
        <color rgb="FFE37222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73">
    <xf numFmtId="0" fontId="0" fillId="0" borderId="0" xfId="0"/>
    <xf numFmtId="3" fontId="0" fillId="0" borderId="0" xfId="0" applyNumberFormat="1"/>
    <xf numFmtId="3" fontId="0" fillId="0" borderId="1" xfId="0" applyNumberFormat="1" applyBorder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5" fillId="2" borderId="8" xfId="0" applyFont="1" applyFill="1" applyBorder="1" applyAlignment="1">
      <alignment wrapText="1"/>
    </xf>
    <xf numFmtId="0" fontId="5" fillId="0" borderId="9" xfId="0" applyFont="1" applyBorder="1" applyAlignment="1">
      <alignment wrapText="1"/>
    </xf>
    <xf numFmtId="0" fontId="5" fillId="0" borderId="9" xfId="0" applyFont="1" applyBorder="1" applyAlignment="1">
      <alignment horizontal="center" wrapText="1"/>
    </xf>
    <xf numFmtId="0" fontId="4" fillId="0" borderId="10" xfId="0" applyFont="1" applyBorder="1"/>
    <xf numFmtId="0" fontId="4" fillId="0" borderId="7" xfId="0" applyFont="1" applyBorder="1"/>
    <xf numFmtId="0" fontId="4" fillId="0" borderId="7" xfId="0" applyFont="1" applyBorder="1" applyAlignment="1">
      <alignment horizontal="center"/>
    </xf>
    <xf numFmtId="0" fontId="4" fillId="0" borderId="11" xfId="0" applyFont="1" applyBorder="1"/>
    <xf numFmtId="165" fontId="4" fillId="0" borderId="12" xfId="0" applyNumberFormat="1" applyFont="1" applyBorder="1"/>
    <xf numFmtId="3" fontId="4" fillId="3" borderId="12" xfId="0" applyNumberFormat="1" applyFont="1" applyFill="1" applyBorder="1"/>
    <xf numFmtId="166" fontId="4" fillId="0" borderId="12" xfId="0" applyNumberFormat="1" applyFont="1" applyBorder="1"/>
    <xf numFmtId="165" fontId="4" fillId="0" borderId="12" xfId="0" applyNumberFormat="1" applyFont="1" applyBorder="1" applyAlignment="1"/>
    <xf numFmtId="165" fontId="4" fillId="0" borderId="12" xfId="0" applyNumberFormat="1" applyFont="1" applyBorder="1" applyAlignment="1">
      <alignment horizontal="right"/>
    </xf>
    <xf numFmtId="0" fontId="4" fillId="0" borderId="11" xfId="0" applyFont="1" applyBorder="1" applyAlignment="1">
      <alignment vertical="justify"/>
    </xf>
    <xf numFmtId="0" fontId="4" fillId="2" borderId="11" xfId="0" applyFont="1" applyFill="1" applyBorder="1"/>
    <xf numFmtId="165" fontId="4" fillId="4" borderId="12" xfId="0" applyNumberFormat="1" applyFont="1" applyFill="1" applyBorder="1" applyAlignment="1">
      <alignment horizontal="right"/>
    </xf>
    <xf numFmtId="0" fontId="4" fillId="0" borderId="11" xfId="0" applyFont="1" applyFill="1" applyBorder="1"/>
    <xf numFmtId="0" fontId="4" fillId="0" borderId="13" xfId="0" applyFont="1" applyBorder="1"/>
    <xf numFmtId="165" fontId="4" fillId="0" borderId="3" xfId="0" applyNumberFormat="1" applyFont="1" applyBorder="1"/>
    <xf numFmtId="3" fontId="4" fillId="3" borderId="3" xfId="0" applyNumberFormat="1" applyFont="1" applyFill="1" applyBorder="1"/>
    <xf numFmtId="165" fontId="4" fillId="0" borderId="3" xfId="0" applyNumberFormat="1" applyFont="1" applyBorder="1" applyAlignment="1"/>
    <xf numFmtId="165" fontId="4" fillId="0" borderId="3" xfId="0" applyNumberFormat="1" applyFont="1" applyBorder="1" applyAlignment="1">
      <alignment horizontal="right"/>
    </xf>
    <xf numFmtId="0" fontId="4" fillId="0" borderId="8" xfId="0" applyFont="1" applyBorder="1"/>
    <xf numFmtId="165" fontId="4" fillId="0" borderId="9" xfId="0" applyNumberFormat="1" applyFont="1" applyBorder="1"/>
    <xf numFmtId="166" fontId="4" fillId="0" borderId="9" xfId="0" applyNumberFormat="1" applyFont="1" applyBorder="1"/>
    <xf numFmtId="167" fontId="4" fillId="0" borderId="7" xfId="0" applyNumberFormat="1" applyFont="1" applyBorder="1"/>
    <xf numFmtId="0" fontId="5" fillId="0" borderId="14" xfId="0" applyFont="1" applyBorder="1"/>
    <xf numFmtId="165" fontId="4" fillId="0" borderId="12" xfId="0" applyNumberFormat="1" applyFont="1" applyBorder="1" applyAlignment="1">
      <alignment horizontal="center"/>
    </xf>
    <xf numFmtId="0" fontId="4" fillId="0" borderId="15" xfId="0" applyFont="1" applyBorder="1" applyAlignment="1">
      <alignment wrapText="1"/>
    </xf>
    <xf numFmtId="165" fontId="4" fillId="0" borderId="5" xfId="0" applyNumberFormat="1" applyFont="1" applyBorder="1"/>
    <xf numFmtId="3" fontId="4" fillId="3" borderId="5" xfId="0" applyNumberFormat="1" applyFont="1" applyFill="1" applyBorder="1"/>
    <xf numFmtId="166" fontId="4" fillId="0" borderId="5" xfId="0" applyNumberFormat="1" applyFont="1" applyBorder="1"/>
    <xf numFmtId="165" fontId="4" fillId="0" borderId="5" xfId="0" applyNumberFormat="1" applyFont="1" applyBorder="1" applyAlignment="1">
      <alignment horizontal="center"/>
    </xf>
    <xf numFmtId="165" fontId="4" fillId="0" borderId="5" xfId="0" applyNumberFormat="1" applyFont="1" applyBorder="1" applyAlignment="1">
      <alignment horizontal="right"/>
    </xf>
    <xf numFmtId="0" fontId="4" fillId="0" borderId="15" xfId="0" applyFont="1" applyBorder="1"/>
    <xf numFmtId="165" fontId="4" fillId="0" borderId="9" xfId="0" applyNumberFormat="1" applyFont="1" applyBorder="1" applyAlignment="1">
      <alignment horizontal="center"/>
    </xf>
    <xf numFmtId="0" fontId="5" fillId="0" borderId="0" xfId="0" applyFont="1"/>
    <xf numFmtId="3" fontId="5" fillId="0" borderId="0" xfId="0" applyNumberFormat="1" applyFont="1"/>
    <xf numFmtId="165" fontId="4" fillId="0" borderId="7" xfId="0" applyNumberFormat="1" applyFont="1" applyBorder="1"/>
    <xf numFmtId="3" fontId="4" fillId="3" borderId="7" xfId="0" applyNumberFormat="1" applyFont="1" applyFill="1" applyBorder="1"/>
    <xf numFmtId="166" fontId="4" fillId="0" borderId="7" xfId="0" applyNumberFormat="1" applyFont="1" applyBorder="1"/>
    <xf numFmtId="165" fontId="4" fillId="0" borderId="7" xfId="0" applyNumberFormat="1" applyFont="1" applyBorder="1" applyAlignment="1"/>
    <xf numFmtId="165" fontId="4" fillId="0" borderId="7" xfId="0" applyNumberFormat="1" applyFont="1" applyBorder="1" applyAlignment="1">
      <alignment horizontal="right"/>
    </xf>
    <xf numFmtId="3" fontId="4" fillId="0" borderId="0" xfId="0" applyNumberFormat="1" applyFont="1"/>
    <xf numFmtId="3" fontId="5" fillId="0" borderId="9" xfId="0" applyNumberFormat="1" applyFont="1" applyBorder="1" applyAlignment="1">
      <alignment wrapText="1"/>
    </xf>
    <xf numFmtId="3" fontId="4" fillId="0" borderId="7" xfId="0" applyNumberFormat="1" applyFont="1" applyBorder="1"/>
    <xf numFmtId="3" fontId="4" fillId="0" borderId="12" xfId="0" applyNumberFormat="1" applyFont="1" applyBorder="1" applyAlignment="1">
      <alignment horizontal="right"/>
    </xf>
    <xf numFmtId="3" fontId="4" fillId="0" borderId="7" xfId="0" applyNumberFormat="1" applyFont="1" applyBorder="1" applyAlignment="1">
      <alignment horizontal="right"/>
    </xf>
    <xf numFmtId="3" fontId="4" fillId="4" borderId="12" xfId="0" applyNumberFormat="1" applyFont="1" applyFill="1" applyBorder="1" applyAlignment="1">
      <alignment horizontal="right"/>
    </xf>
    <xf numFmtId="3" fontId="4" fillId="0" borderId="3" xfId="0" applyNumberFormat="1" applyFont="1" applyBorder="1" applyAlignment="1">
      <alignment horizontal="right"/>
    </xf>
    <xf numFmtId="3" fontId="4" fillId="0" borderId="3" xfId="0" applyNumberFormat="1" applyFont="1" applyBorder="1"/>
    <xf numFmtId="3" fontId="4" fillId="0" borderId="9" xfId="0" applyNumberFormat="1" applyFont="1" applyBorder="1"/>
    <xf numFmtId="3" fontId="4" fillId="0" borderId="5" xfId="0" applyNumberFormat="1" applyFont="1" applyBorder="1" applyAlignment="1">
      <alignment horizontal="right"/>
    </xf>
    <xf numFmtId="0" fontId="5" fillId="5" borderId="9" xfId="0" applyFont="1" applyFill="1" applyBorder="1" applyAlignment="1">
      <alignment wrapText="1"/>
    </xf>
    <xf numFmtId="0" fontId="4" fillId="5" borderId="7" xfId="0" applyFont="1" applyFill="1" applyBorder="1"/>
    <xf numFmtId="168" fontId="4" fillId="5" borderId="12" xfId="1" applyNumberFormat="1" applyFont="1" applyFill="1" applyBorder="1"/>
    <xf numFmtId="168" fontId="6" fillId="5" borderId="12" xfId="1" applyNumberFormat="1" applyFont="1" applyFill="1" applyBorder="1"/>
    <xf numFmtId="165" fontId="4" fillId="5" borderId="9" xfId="0" applyNumberFormat="1" applyFont="1" applyFill="1" applyBorder="1"/>
    <xf numFmtId="168" fontId="4" fillId="5" borderId="5" xfId="1" applyNumberFormat="1" applyFont="1" applyFill="1" applyBorder="1"/>
    <xf numFmtId="0" fontId="5" fillId="6" borderId="9" xfId="0" applyFont="1" applyFill="1" applyBorder="1" applyAlignment="1">
      <alignment wrapText="1"/>
    </xf>
    <xf numFmtId="0" fontId="4" fillId="6" borderId="7" xfId="0" applyFont="1" applyFill="1" applyBorder="1"/>
    <xf numFmtId="165" fontId="4" fillId="6" borderId="12" xfId="0" applyNumberFormat="1" applyFont="1" applyFill="1" applyBorder="1" applyAlignment="1">
      <alignment wrapText="1"/>
    </xf>
    <xf numFmtId="165" fontId="4" fillId="6" borderId="12" xfId="0" applyNumberFormat="1" applyFont="1" applyFill="1" applyBorder="1"/>
    <xf numFmtId="165" fontId="4" fillId="6" borderId="9" xfId="0" applyNumberFormat="1" applyFont="1" applyFill="1" applyBorder="1"/>
    <xf numFmtId="165" fontId="4" fillId="6" borderId="5" xfId="0" applyNumberFormat="1" applyFont="1" applyFill="1" applyBorder="1"/>
    <xf numFmtId="0" fontId="7" fillId="0" borderId="0" xfId="0" applyFont="1"/>
    <xf numFmtId="0" fontId="2" fillId="0" borderId="0" xfId="0" applyFont="1"/>
    <xf numFmtId="165" fontId="0" fillId="0" borderId="0" xfId="0" applyNumberFormat="1"/>
    <xf numFmtId="165" fontId="4" fillId="2" borderId="12" xfId="0" applyNumberFormat="1" applyFont="1" applyFill="1" applyBorder="1" applyAlignment="1">
      <alignment wrapText="1"/>
    </xf>
    <xf numFmtId="169" fontId="4" fillId="0" borderId="9" xfId="0" applyNumberFormat="1" applyFont="1" applyBorder="1"/>
    <xf numFmtId="165" fontId="4" fillId="0" borderId="0" xfId="0" applyNumberFormat="1" applyFont="1"/>
    <xf numFmtId="0" fontId="4" fillId="0" borderId="16" xfId="0" applyFont="1" applyBorder="1"/>
    <xf numFmtId="0" fontId="4" fillId="0" borderId="0" xfId="0" applyFont="1" applyAlignment="1">
      <alignment wrapText="1"/>
    </xf>
    <xf numFmtId="0" fontId="0" fillId="0" borderId="0" xfId="0" applyAlignment="1">
      <alignment horizontal="right"/>
    </xf>
    <xf numFmtId="0" fontId="0" fillId="7" borderId="0" xfId="0" applyFill="1"/>
    <xf numFmtId="1" fontId="0" fillId="7" borderId="0" xfId="0" applyNumberFormat="1" applyFill="1"/>
    <xf numFmtId="165" fontId="4" fillId="7" borderId="9" xfId="0" applyNumberFormat="1" applyFont="1" applyFill="1" applyBorder="1"/>
    <xf numFmtId="165" fontId="4" fillId="7" borderId="17" xfId="0" applyNumberFormat="1" applyFont="1" applyFill="1" applyBorder="1"/>
    <xf numFmtId="165" fontId="4" fillId="7" borderId="18" xfId="0" applyNumberFormat="1" applyFont="1" applyFill="1" applyBorder="1"/>
    <xf numFmtId="0" fontId="2" fillId="7" borderId="3" xfId="0" applyFont="1" applyFill="1" applyBorder="1" applyAlignment="1">
      <alignment wrapText="1"/>
    </xf>
    <xf numFmtId="0" fontId="0" fillId="7" borderId="5" xfId="0" applyFill="1" applyBorder="1"/>
    <xf numFmtId="0" fontId="2" fillId="7" borderId="5" xfId="0" applyFont="1" applyFill="1" applyBorder="1"/>
    <xf numFmtId="3" fontId="0" fillId="7" borderId="5" xfId="0" applyNumberFormat="1" applyFill="1" applyBorder="1"/>
    <xf numFmtId="0" fontId="0" fillId="7" borderId="7" xfId="0" applyFill="1" applyBorder="1"/>
    <xf numFmtId="0" fontId="2" fillId="7" borderId="2" xfId="0" applyFont="1" applyFill="1" applyBorder="1" applyAlignment="1">
      <alignment wrapText="1"/>
    </xf>
    <xf numFmtId="9" fontId="0" fillId="7" borderId="4" xfId="0" applyNumberFormat="1" applyFill="1" applyBorder="1"/>
    <xf numFmtId="0" fontId="0" fillId="7" borderId="6" xfId="0" applyFill="1" applyBorder="1"/>
    <xf numFmtId="0" fontId="2" fillId="7" borderId="7" xfId="0" applyFont="1" applyFill="1" applyBorder="1"/>
    <xf numFmtId="3" fontId="4" fillId="0" borderId="0" xfId="0" applyNumberFormat="1" applyFont="1" applyBorder="1"/>
    <xf numFmtId="3" fontId="4" fillId="0" borderId="0" xfId="0" applyNumberFormat="1" applyFont="1" applyBorder="1" applyAlignment="1">
      <alignment horizontal="right"/>
    </xf>
    <xf numFmtId="3" fontId="5" fillId="0" borderId="3" xfId="0" applyNumberFormat="1" applyFont="1" applyBorder="1" applyAlignment="1">
      <alignment wrapText="1"/>
    </xf>
    <xf numFmtId="3" fontId="4" fillId="0" borderId="5" xfId="0" applyNumberFormat="1" applyFont="1" applyBorder="1"/>
    <xf numFmtId="0" fontId="8" fillId="0" borderId="0" xfId="0" applyFont="1"/>
    <xf numFmtId="0" fontId="5" fillId="0" borderId="20" xfId="1" applyNumberFormat="1" applyFont="1" applyBorder="1" applyAlignment="1">
      <alignment vertical="center" wrapText="1"/>
    </xf>
    <xf numFmtId="0" fontId="5" fillId="0" borderId="21" xfId="1" applyNumberFormat="1" applyFont="1" applyBorder="1" applyAlignment="1">
      <alignment vertical="center" wrapText="1"/>
    </xf>
    <xf numFmtId="0" fontId="5" fillId="0" borderId="22" xfId="1" applyNumberFormat="1" applyFont="1" applyBorder="1" applyAlignment="1">
      <alignment vertical="center" wrapText="1"/>
    </xf>
    <xf numFmtId="3" fontId="8" fillId="0" borderId="23" xfId="1" applyNumberFormat="1" applyFont="1" applyBorder="1"/>
    <xf numFmtId="3" fontId="8" fillId="0" borderId="0" xfId="1" applyNumberFormat="1" applyFont="1" applyBorder="1"/>
    <xf numFmtId="3" fontId="8" fillId="0" borderId="24" xfId="1" applyNumberFormat="1" applyFont="1" applyBorder="1"/>
    <xf numFmtId="0" fontId="8" fillId="0" borderId="0" xfId="0" applyNumberFormat="1" applyFont="1"/>
    <xf numFmtId="3" fontId="8" fillId="0" borderId="0" xfId="0" applyNumberFormat="1" applyFont="1" applyAlignment="1"/>
    <xf numFmtId="3" fontId="8" fillId="0" borderId="0" xfId="0" applyNumberFormat="1" applyFont="1"/>
    <xf numFmtId="0" fontId="11" fillId="0" borderId="0" xfId="0" applyFont="1" applyAlignment="1">
      <alignment vertical="center"/>
    </xf>
    <xf numFmtId="0" fontId="11" fillId="0" borderId="0" xfId="0" applyFont="1"/>
    <xf numFmtId="172" fontId="0" fillId="0" borderId="0" xfId="0" applyNumberFormat="1"/>
    <xf numFmtId="0" fontId="0" fillId="0" borderId="0" xfId="0" applyBorder="1"/>
    <xf numFmtId="0" fontId="0" fillId="0" borderId="23" xfId="0" applyBorder="1"/>
    <xf numFmtId="0" fontId="11" fillId="0" borderId="0" xfId="0" applyFont="1" applyBorder="1"/>
    <xf numFmtId="0" fontId="11" fillId="0" borderId="21" xfId="0" applyFont="1" applyBorder="1" applyAlignment="1">
      <alignment vertical="center" wrapText="1"/>
    </xf>
    <xf numFmtId="0" fontId="0" fillId="0" borderId="0" xfId="0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26" xfId="0" applyBorder="1" applyAlignment="1">
      <alignment horizontal="left"/>
    </xf>
    <xf numFmtId="172" fontId="12" fillId="0" borderId="0" xfId="0" applyNumberFormat="1" applyFont="1" applyBorder="1" applyAlignment="1">
      <alignment horizontal="left"/>
    </xf>
    <xf numFmtId="172" fontId="12" fillId="0" borderId="29" xfId="0" applyNumberFormat="1" applyFont="1" applyBorder="1" applyAlignment="1">
      <alignment horizontal="left"/>
    </xf>
    <xf numFmtId="172" fontId="12" fillId="0" borderId="26" xfId="0" applyNumberFormat="1" applyFont="1" applyBorder="1" applyAlignment="1">
      <alignment horizontal="left"/>
    </xf>
    <xf numFmtId="172" fontId="13" fillId="0" borderId="0" xfId="0" applyNumberFormat="1" applyFont="1" applyBorder="1" applyAlignment="1">
      <alignment horizontal="left"/>
    </xf>
    <xf numFmtId="0" fontId="11" fillId="0" borderId="23" xfId="0" applyFont="1" applyBorder="1" applyAlignment="1">
      <alignment vertical="center" wrapText="1"/>
    </xf>
    <xf numFmtId="170" fontId="12" fillId="0" borderId="0" xfId="0" applyNumberFormat="1" applyFont="1" applyBorder="1" applyAlignment="1">
      <alignment horizontal="left"/>
    </xf>
    <xf numFmtId="0" fontId="14" fillId="0" borderId="0" xfId="0" applyFont="1"/>
    <xf numFmtId="3" fontId="8" fillId="0" borderId="25" xfId="1" applyNumberFormat="1" applyFont="1" applyBorder="1"/>
    <xf numFmtId="3" fontId="8" fillId="0" borderId="26" xfId="1" applyNumberFormat="1" applyFont="1" applyBorder="1"/>
    <xf numFmtId="3" fontId="8" fillId="0" borderId="28" xfId="1" applyNumberFormat="1" applyFont="1" applyBorder="1"/>
    <xf numFmtId="170" fontId="12" fillId="0" borderId="30" xfId="0" applyNumberFormat="1" applyFont="1" applyBorder="1" applyAlignment="1">
      <alignment horizontal="left"/>
    </xf>
    <xf numFmtId="3" fontId="8" fillId="0" borderId="30" xfId="1" applyNumberFormat="1" applyFont="1" applyFill="1" applyBorder="1"/>
    <xf numFmtId="3" fontId="8" fillId="0" borderId="27" xfId="1" applyNumberFormat="1" applyFont="1" applyFill="1" applyBorder="1"/>
    <xf numFmtId="0" fontId="0" fillId="8" borderId="23" xfId="0" applyFill="1" applyBorder="1"/>
    <xf numFmtId="0" fontId="11" fillId="8" borderId="0" xfId="0" applyFont="1" applyFill="1" applyBorder="1"/>
    <xf numFmtId="0" fontId="0" fillId="8" borderId="0" xfId="0" applyFill="1" applyBorder="1" applyAlignment="1">
      <alignment horizontal="left"/>
    </xf>
    <xf numFmtId="172" fontId="12" fillId="8" borderId="0" xfId="0" applyNumberFormat="1" applyFont="1" applyFill="1" applyBorder="1" applyAlignment="1">
      <alignment horizontal="left"/>
    </xf>
    <xf numFmtId="170" fontId="12" fillId="8" borderId="0" xfId="0" applyNumberFormat="1" applyFont="1" applyFill="1" applyBorder="1" applyAlignment="1">
      <alignment horizontal="left"/>
    </xf>
    <xf numFmtId="3" fontId="8" fillId="8" borderId="23" xfId="1" applyNumberFormat="1" applyFont="1" applyFill="1" applyBorder="1"/>
    <xf numFmtId="3" fontId="8" fillId="8" borderId="0" xfId="1" applyNumberFormat="1" applyFont="1" applyFill="1" applyBorder="1"/>
    <xf numFmtId="3" fontId="8" fillId="8" borderId="24" xfId="1" applyNumberFormat="1" applyFont="1" applyFill="1" applyBorder="1"/>
    <xf numFmtId="0" fontId="9" fillId="0" borderId="0" xfId="0" applyFont="1" applyBorder="1" applyAlignment="1">
      <alignment horizontal="left"/>
    </xf>
    <xf numFmtId="0" fontId="5" fillId="0" borderId="0" xfId="1" applyNumberFormat="1" applyFont="1" applyBorder="1" applyAlignment="1">
      <alignment vertical="center" wrapText="1"/>
    </xf>
    <xf numFmtId="3" fontId="8" fillId="0" borderId="0" xfId="1" applyNumberFormat="1" applyFont="1" applyFill="1" applyBorder="1"/>
    <xf numFmtId="0" fontId="16" fillId="0" borderId="0" xfId="0" applyFont="1"/>
    <xf numFmtId="172" fontId="12" fillId="0" borderId="27" xfId="0" applyNumberFormat="1" applyFont="1" applyBorder="1" applyAlignment="1">
      <alignment horizontal="left"/>
    </xf>
    <xf numFmtId="0" fontId="1" fillId="0" borderId="0" xfId="0" applyFont="1" applyAlignment="1">
      <alignment wrapText="1"/>
    </xf>
    <xf numFmtId="3" fontId="11" fillId="0" borderId="0" xfId="0" applyNumberFormat="1" applyFont="1"/>
    <xf numFmtId="0" fontId="8" fillId="0" borderId="0" xfId="0" applyNumberFormat="1" applyFont="1" applyAlignment="1">
      <alignment horizontal="left"/>
    </xf>
    <xf numFmtId="0" fontId="8" fillId="0" borderId="0" xfId="0" applyNumberFormat="1" applyFont="1" applyAlignment="1">
      <alignment horizontal="left"/>
    </xf>
    <xf numFmtId="3" fontId="8" fillId="0" borderId="29" xfId="1" applyNumberFormat="1" applyFont="1" applyFill="1" applyBorder="1"/>
    <xf numFmtId="0" fontId="11" fillId="0" borderId="0" xfId="0" applyFont="1" applyBorder="1" applyAlignment="1">
      <alignment horizontal="left"/>
    </xf>
    <xf numFmtId="0" fontId="8" fillId="0" borderId="0" xfId="0" applyFont="1" applyFill="1"/>
    <xf numFmtId="0" fontId="9" fillId="0" borderId="0" xfId="0" applyFont="1" applyFill="1" applyBorder="1" applyAlignment="1">
      <alignment horizontal="left"/>
    </xf>
    <xf numFmtId="0" fontId="5" fillId="0" borderId="0" xfId="1" applyNumberFormat="1" applyFont="1" applyFill="1" applyBorder="1" applyAlignment="1">
      <alignment vertical="center" wrapText="1"/>
    </xf>
    <xf numFmtId="0" fontId="8" fillId="0" borderId="0" xfId="0" applyNumberFormat="1" applyFont="1" applyFill="1"/>
    <xf numFmtId="0" fontId="8" fillId="0" borderId="0" xfId="0" applyNumberFormat="1" applyFont="1" applyFill="1" applyAlignment="1">
      <alignment horizontal="left"/>
    </xf>
    <xf numFmtId="0" fontId="0" fillId="0" borderId="23" xfId="0" applyFill="1" applyBorder="1"/>
    <xf numFmtId="0" fontId="11" fillId="0" borderId="0" xfId="0" applyFont="1" applyFill="1" applyBorder="1"/>
    <xf numFmtId="0" fontId="0" fillId="0" borderId="0" xfId="0" applyFill="1" applyBorder="1" applyAlignment="1">
      <alignment horizontal="left"/>
    </xf>
    <xf numFmtId="172" fontId="12" fillId="0" borderId="0" xfId="0" applyNumberFormat="1" applyFont="1" applyFill="1" applyBorder="1" applyAlignment="1">
      <alignment horizontal="left"/>
    </xf>
    <xf numFmtId="170" fontId="12" fillId="0" borderId="0" xfId="0" applyNumberFormat="1" applyFont="1" applyFill="1" applyBorder="1" applyAlignment="1">
      <alignment horizontal="left"/>
    </xf>
    <xf numFmtId="3" fontId="8" fillId="0" borderId="23" xfId="1" applyNumberFormat="1" applyFont="1" applyFill="1" applyBorder="1"/>
    <xf numFmtId="3" fontId="8" fillId="0" borderId="24" xfId="1" applyNumberFormat="1" applyFont="1" applyFill="1" applyBorder="1"/>
    <xf numFmtId="0" fontId="0" fillId="0" borderId="0" xfId="0" applyFill="1"/>
    <xf numFmtId="0" fontId="0" fillId="0" borderId="0" xfId="0" applyFill="1" applyBorder="1"/>
    <xf numFmtId="171" fontId="12" fillId="0" borderId="0" xfId="0" applyNumberFormat="1" applyFont="1" applyFill="1" applyBorder="1" applyAlignment="1">
      <alignment horizontal="left"/>
    </xf>
    <xf numFmtId="0" fontId="19" fillId="0" borderId="0" xfId="0" applyFont="1"/>
    <xf numFmtId="0" fontId="8" fillId="0" borderId="0" xfId="0" applyNumberFormat="1" applyFont="1" applyAlignment="1">
      <alignment horizontal="left"/>
    </xf>
    <xf numFmtId="0" fontId="11" fillId="0" borderId="21" xfId="0" applyFont="1" applyBorder="1" applyAlignment="1">
      <alignment horizontal="left" vertical="center" wrapText="1"/>
    </xf>
    <xf numFmtId="0" fontId="9" fillId="0" borderId="19" xfId="0" applyFont="1" applyBorder="1" applyAlignment="1">
      <alignment horizontal="left" wrapText="1"/>
    </xf>
    <xf numFmtId="0" fontId="11" fillId="0" borderId="20" xfId="0" applyFont="1" applyBorder="1" applyAlignment="1">
      <alignment horizontal="left" vertical="center" wrapText="1"/>
    </xf>
    <xf numFmtId="0" fontId="11" fillId="0" borderId="28" xfId="0" applyFont="1" applyBorder="1" applyAlignment="1">
      <alignment horizontal="left"/>
    </xf>
    <xf numFmtId="0" fontId="11" fillId="0" borderId="29" xfId="0" applyFont="1" applyBorder="1" applyAlignment="1">
      <alignment horizontal="left"/>
    </xf>
    <xf numFmtId="0" fontId="11" fillId="0" borderId="25" xfId="0" applyFont="1" applyBorder="1" applyAlignment="1">
      <alignment horizontal="left"/>
    </xf>
    <xf numFmtId="0" fontId="11" fillId="0" borderId="26" xfId="0" applyFont="1" applyBorder="1" applyAlignment="1">
      <alignment horizontal="left"/>
    </xf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colors>
    <mruColors>
      <color rgb="FFE37222"/>
      <color rgb="FF3333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0"/>
  <sheetViews>
    <sheetView topLeftCell="A19" workbookViewId="0">
      <selection activeCell="A43" sqref="A43"/>
    </sheetView>
  </sheetViews>
  <sheetFormatPr defaultRowHeight="12.75" x14ac:dyDescent="0.2"/>
  <cols>
    <col min="1" max="1" width="29.85546875" customWidth="1"/>
    <col min="2" max="2" width="13.85546875" style="1" customWidth="1"/>
    <col min="3" max="3" width="12.42578125" style="4" customWidth="1"/>
    <col min="4" max="4" width="11.85546875" style="4" customWidth="1"/>
    <col min="5" max="5" width="10.42578125" style="4" customWidth="1"/>
    <col min="6" max="6" width="16.85546875" style="4" customWidth="1"/>
    <col min="7" max="7" width="13.7109375" style="48" customWidth="1"/>
    <col min="8" max="8" width="12.7109375" customWidth="1"/>
    <col min="9" max="9" width="12.28515625" customWidth="1"/>
    <col min="10" max="11" width="15.28515625" customWidth="1"/>
    <col min="12" max="12" width="14.28515625" customWidth="1"/>
    <col min="13" max="15" width="17.28515625" customWidth="1"/>
  </cols>
  <sheetData>
    <row r="1" spans="1:16" ht="15.75" x14ac:dyDescent="0.25">
      <c r="A1" s="3" t="s">
        <v>0</v>
      </c>
    </row>
    <row r="3" spans="1:16" ht="13.5" thickBot="1" x14ac:dyDescent="0.25">
      <c r="A3" s="4"/>
      <c r="B3" s="4"/>
      <c r="E3" s="5"/>
      <c r="L3" s="79" t="s">
        <v>71</v>
      </c>
      <c r="M3" s="79"/>
      <c r="N3" s="79"/>
      <c r="O3" s="79"/>
      <c r="P3" s="79"/>
    </row>
    <row r="4" spans="1:16" ht="48.75" thickBot="1" x14ac:dyDescent="0.25">
      <c r="A4" s="6" t="s">
        <v>7</v>
      </c>
      <c r="B4" s="7" t="s">
        <v>8</v>
      </c>
      <c r="C4" s="7" t="s">
        <v>43</v>
      </c>
      <c r="D4" s="7" t="s">
        <v>9</v>
      </c>
      <c r="E4" s="8" t="s">
        <v>10</v>
      </c>
      <c r="F4" s="7" t="s">
        <v>45</v>
      </c>
      <c r="G4" s="49" t="s">
        <v>44</v>
      </c>
      <c r="H4" s="58" t="s">
        <v>46</v>
      </c>
      <c r="I4" s="64" t="s">
        <v>47</v>
      </c>
      <c r="J4" s="49" t="s">
        <v>66</v>
      </c>
      <c r="K4" s="95" t="s">
        <v>70</v>
      </c>
      <c r="L4" s="89" t="s">
        <v>57</v>
      </c>
      <c r="M4" s="84" t="s">
        <v>54</v>
      </c>
      <c r="N4" s="84" t="s">
        <v>67</v>
      </c>
      <c r="O4" s="84"/>
      <c r="P4" s="79"/>
    </row>
    <row r="5" spans="1:16" x14ac:dyDescent="0.2">
      <c r="A5" s="9"/>
      <c r="B5" s="10"/>
      <c r="C5" s="10"/>
      <c r="D5" s="10"/>
      <c r="E5" s="11"/>
      <c r="F5" s="10"/>
      <c r="G5" s="50"/>
      <c r="H5" s="59"/>
      <c r="I5" s="65"/>
      <c r="J5" s="50"/>
      <c r="K5" s="96"/>
      <c r="L5" s="90" t="s">
        <v>64</v>
      </c>
      <c r="M5" s="85">
        <v>200</v>
      </c>
      <c r="N5" s="85" t="s">
        <v>68</v>
      </c>
      <c r="O5" s="85" t="s">
        <v>69</v>
      </c>
      <c r="P5" s="79"/>
    </row>
    <row r="6" spans="1:16" x14ac:dyDescent="0.2">
      <c r="A6" s="9"/>
      <c r="B6" s="10"/>
      <c r="C6" s="10"/>
      <c r="D6" s="10"/>
      <c r="E6" s="11"/>
      <c r="F6" s="10"/>
      <c r="G6" s="50"/>
      <c r="H6" s="60"/>
      <c r="I6" s="66"/>
      <c r="J6" s="50"/>
      <c r="K6" s="50"/>
      <c r="L6" s="91"/>
      <c r="M6" s="92" t="s">
        <v>53</v>
      </c>
      <c r="N6" s="92"/>
      <c r="O6" s="92"/>
      <c r="P6" s="79"/>
    </row>
    <row r="7" spans="1:16" x14ac:dyDescent="0.2">
      <c r="A7" s="9"/>
      <c r="B7" s="10"/>
      <c r="C7" s="10"/>
      <c r="D7" s="10"/>
      <c r="E7" s="11"/>
      <c r="F7" s="10"/>
      <c r="G7" s="50"/>
      <c r="H7" s="60"/>
      <c r="I7" s="66"/>
      <c r="J7" s="50"/>
      <c r="K7" s="93"/>
      <c r="L7" s="79"/>
      <c r="M7" s="86"/>
      <c r="N7" s="86"/>
      <c r="O7" s="86"/>
      <c r="P7" s="79"/>
    </row>
    <row r="8" spans="1:16" x14ac:dyDescent="0.2">
      <c r="A8" s="18" t="s">
        <v>21</v>
      </c>
      <c r="B8" s="13">
        <f>12+19+8</f>
        <v>39</v>
      </c>
      <c r="C8" s="14">
        <v>42</v>
      </c>
      <c r="D8" s="15">
        <f>C8/B8%</f>
        <v>107.69230769230769</v>
      </c>
      <c r="E8" s="16">
        <v>3</v>
      </c>
      <c r="F8" s="17" t="s">
        <v>18</v>
      </c>
      <c r="G8" s="51">
        <v>0</v>
      </c>
      <c r="H8" s="60">
        <v>21</v>
      </c>
      <c r="I8" s="66">
        <v>20</v>
      </c>
      <c r="J8" s="51">
        <v>241014</v>
      </c>
      <c r="K8" s="94">
        <f>J8+G8</f>
        <v>241014</v>
      </c>
      <c r="L8" s="80">
        <f>B8*40%</f>
        <v>15.600000000000001</v>
      </c>
      <c r="M8" s="87">
        <f>L8*$M$5*11</f>
        <v>34320.000000000007</v>
      </c>
      <c r="N8" s="87">
        <f>L8*$I$55</f>
        <v>147813.7671723419</v>
      </c>
      <c r="O8" s="87">
        <f>N8-K8</f>
        <v>-93200.232827658096</v>
      </c>
      <c r="P8" s="79"/>
    </row>
    <row r="9" spans="1:16" x14ac:dyDescent="0.2">
      <c r="A9" s="18" t="s">
        <v>17</v>
      </c>
      <c r="B9" s="13">
        <f>12+21+25</f>
        <v>58</v>
      </c>
      <c r="C9" s="14">
        <v>56</v>
      </c>
      <c r="D9" s="15">
        <f>C9/B9%</f>
        <v>96.551724137931046</v>
      </c>
      <c r="E9" s="16">
        <v>4</v>
      </c>
      <c r="F9" s="17" t="s">
        <v>18</v>
      </c>
      <c r="G9" s="51">
        <v>0</v>
      </c>
      <c r="H9" s="60">
        <v>29</v>
      </c>
      <c r="I9" s="66">
        <v>25</v>
      </c>
      <c r="J9" s="51">
        <v>300087</v>
      </c>
      <c r="K9" s="94">
        <f t="shared" ref="K9:K30" si="0">J9+G9</f>
        <v>300087</v>
      </c>
      <c r="L9" s="80">
        <f t="shared" ref="L9:L31" si="1">B9*40%</f>
        <v>23.200000000000003</v>
      </c>
      <c r="M9" s="87">
        <f t="shared" ref="M9:M28" si="2">L9*$M$5*11</f>
        <v>51040.000000000007</v>
      </c>
      <c r="N9" s="87">
        <f t="shared" ref="N9:N29" si="3">L9*$I$55</f>
        <v>219825.60246143155</v>
      </c>
      <c r="O9" s="87">
        <f t="shared" ref="O9:O28" si="4">N9-K9</f>
        <v>-80261.397538568446</v>
      </c>
      <c r="P9" s="79"/>
    </row>
    <row r="10" spans="1:16" x14ac:dyDescent="0.2">
      <c r="A10" s="18" t="s">
        <v>4</v>
      </c>
      <c r="B10" s="13">
        <f>22+27+22</f>
        <v>71</v>
      </c>
      <c r="C10" s="14">
        <v>58</v>
      </c>
      <c r="D10" s="15">
        <f>C10/B10%</f>
        <v>81.690140845070431</v>
      </c>
      <c r="E10" s="16">
        <v>4</v>
      </c>
      <c r="F10" s="17" t="s">
        <v>18</v>
      </c>
      <c r="G10" s="51">
        <v>0</v>
      </c>
      <c r="H10" s="60">
        <v>36</v>
      </c>
      <c r="I10" s="66">
        <v>34</v>
      </c>
      <c r="J10" s="51">
        <v>405629</v>
      </c>
      <c r="K10" s="94">
        <f t="shared" si="0"/>
        <v>405629</v>
      </c>
      <c r="L10" s="80">
        <f t="shared" si="1"/>
        <v>28.400000000000002</v>
      </c>
      <c r="M10" s="87">
        <f t="shared" si="2"/>
        <v>62480</v>
      </c>
      <c r="N10" s="87">
        <f t="shared" si="3"/>
        <v>269096.85818554554</v>
      </c>
      <c r="O10" s="87">
        <f t="shared" si="4"/>
        <v>-136532.14181445446</v>
      </c>
      <c r="P10" s="79"/>
    </row>
    <row r="11" spans="1:16" x14ac:dyDescent="0.2">
      <c r="A11" s="12" t="s">
        <v>25</v>
      </c>
      <c r="B11" s="13">
        <f>17+24+22</f>
        <v>63</v>
      </c>
      <c r="C11" s="14">
        <v>39</v>
      </c>
      <c r="D11" s="15">
        <f>C11/B11%</f>
        <v>61.904761904761905</v>
      </c>
      <c r="E11" s="16">
        <v>4</v>
      </c>
      <c r="F11" s="17" t="s">
        <v>26</v>
      </c>
      <c r="G11" s="51">
        <f>50*11*C11</f>
        <v>21450</v>
      </c>
      <c r="H11" s="60">
        <v>14</v>
      </c>
      <c r="I11" s="66">
        <v>14</v>
      </c>
      <c r="J11" s="51">
        <v>200546</v>
      </c>
      <c r="K11" s="94">
        <f t="shared" si="0"/>
        <v>221996</v>
      </c>
      <c r="L11" s="80">
        <f t="shared" si="1"/>
        <v>25.200000000000003</v>
      </c>
      <c r="M11" s="87">
        <f t="shared" si="2"/>
        <v>55440.000000000007</v>
      </c>
      <c r="N11" s="87">
        <f t="shared" si="3"/>
        <v>238776.08543224464</v>
      </c>
      <c r="O11" s="87">
        <f t="shared" si="4"/>
        <v>16780.085432244639</v>
      </c>
      <c r="P11" s="79"/>
    </row>
    <row r="12" spans="1:16" x14ac:dyDescent="0.2">
      <c r="A12" s="9"/>
      <c r="B12" s="10"/>
      <c r="C12" s="10"/>
      <c r="D12" s="10"/>
      <c r="E12" s="11"/>
      <c r="F12" s="10"/>
      <c r="G12" s="50"/>
      <c r="H12" s="60"/>
      <c r="I12" s="66"/>
      <c r="J12" s="50"/>
      <c r="K12" s="94">
        <f t="shared" si="0"/>
        <v>0</v>
      </c>
      <c r="L12" s="80">
        <f t="shared" si="1"/>
        <v>0</v>
      </c>
      <c r="M12" s="87"/>
      <c r="N12" s="87">
        <f t="shared" si="3"/>
        <v>0</v>
      </c>
      <c r="O12" s="87">
        <f t="shared" si="4"/>
        <v>0</v>
      </c>
      <c r="P12" s="79"/>
    </row>
    <row r="13" spans="1:16" x14ac:dyDescent="0.2">
      <c r="A13" s="19" t="s">
        <v>19</v>
      </c>
      <c r="B13" s="13">
        <f>76+74+75</f>
        <v>225</v>
      </c>
      <c r="C13" s="14">
        <v>165</v>
      </c>
      <c r="D13" s="15">
        <f>C13/B13%</f>
        <v>73.333333333333329</v>
      </c>
      <c r="E13" s="16">
        <v>4</v>
      </c>
      <c r="F13" s="17" t="s">
        <v>18</v>
      </c>
      <c r="G13" s="51">
        <v>0</v>
      </c>
      <c r="H13" s="60">
        <v>20</v>
      </c>
      <c r="I13" s="73">
        <v>16</v>
      </c>
      <c r="J13" s="51">
        <v>200546</v>
      </c>
      <c r="K13" s="94">
        <f t="shared" si="0"/>
        <v>200546</v>
      </c>
      <c r="L13" s="80">
        <f t="shared" si="1"/>
        <v>90</v>
      </c>
      <c r="M13" s="87">
        <f t="shared" si="2"/>
        <v>198000</v>
      </c>
      <c r="N13" s="87">
        <f t="shared" si="3"/>
        <v>852771.73368658789</v>
      </c>
      <c r="O13" s="87">
        <f t="shared" si="4"/>
        <v>652225.73368658789</v>
      </c>
      <c r="P13" s="79"/>
    </row>
    <row r="14" spans="1:16" x14ac:dyDescent="0.2">
      <c r="A14" s="18" t="s">
        <v>5</v>
      </c>
      <c r="B14" s="13">
        <f>50+50+44</f>
        <v>144</v>
      </c>
      <c r="C14" s="14">
        <v>121</v>
      </c>
      <c r="D14" s="15">
        <f>C14/B14%</f>
        <v>84.027777777777786</v>
      </c>
      <c r="E14" s="16">
        <v>3</v>
      </c>
      <c r="F14" s="17" t="s">
        <v>18</v>
      </c>
      <c r="G14" s="51">
        <v>0</v>
      </c>
      <c r="H14" s="60">
        <v>34</v>
      </c>
      <c r="I14" s="66">
        <v>28</v>
      </c>
      <c r="J14" s="51">
        <v>326669</v>
      </c>
      <c r="K14" s="94">
        <f t="shared" si="0"/>
        <v>326669</v>
      </c>
      <c r="L14" s="80">
        <f t="shared" si="1"/>
        <v>57.6</v>
      </c>
      <c r="M14" s="87">
        <f t="shared" si="2"/>
        <v>126720</v>
      </c>
      <c r="N14" s="87">
        <f t="shared" si="3"/>
        <v>545773.90955941624</v>
      </c>
      <c r="O14" s="87">
        <f t="shared" si="4"/>
        <v>219104.90955941624</v>
      </c>
      <c r="P14" s="79"/>
    </row>
    <row r="15" spans="1:16" x14ac:dyDescent="0.2">
      <c r="A15" s="19" t="s">
        <v>27</v>
      </c>
      <c r="B15" s="13">
        <f>48+30+35</f>
        <v>113</v>
      </c>
      <c r="C15" s="14">
        <v>53</v>
      </c>
      <c r="D15" s="15">
        <f>C15/B15%</f>
        <v>46.902654867256643</v>
      </c>
      <c r="E15" s="16">
        <v>3</v>
      </c>
      <c r="F15" s="17" t="s">
        <v>18</v>
      </c>
      <c r="G15" s="51">
        <v>0</v>
      </c>
      <c r="H15" s="60">
        <v>12</v>
      </c>
      <c r="I15" s="73">
        <v>11</v>
      </c>
      <c r="J15" s="51">
        <v>200546</v>
      </c>
      <c r="K15" s="94">
        <f t="shared" si="0"/>
        <v>200546</v>
      </c>
      <c r="L15" s="80">
        <f t="shared" si="1"/>
        <v>45.2</v>
      </c>
      <c r="M15" s="87">
        <f t="shared" si="2"/>
        <v>99440</v>
      </c>
      <c r="N15" s="87">
        <f t="shared" si="3"/>
        <v>428280.91514037526</v>
      </c>
      <c r="O15" s="87">
        <f t="shared" si="4"/>
        <v>227734.91514037526</v>
      </c>
      <c r="P15" s="79"/>
    </row>
    <row r="16" spans="1:16" x14ac:dyDescent="0.2">
      <c r="A16" s="12" t="s">
        <v>13</v>
      </c>
      <c r="B16" s="13">
        <f>33+12+24</f>
        <v>69</v>
      </c>
      <c r="C16" s="14">
        <v>32</v>
      </c>
      <c r="D16" s="15">
        <f>C16/B16%</f>
        <v>46.376811594202906</v>
      </c>
      <c r="E16" s="16">
        <v>3</v>
      </c>
      <c r="F16" s="17" t="s">
        <v>14</v>
      </c>
      <c r="G16" s="51">
        <f>200*11*C16</f>
        <v>70400</v>
      </c>
      <c r="H16" s="60">
        <v>19</v>
      </c>
      <c r="I16" s="66">
        <v>14</v>
      </c>
      <c r="J16" s="51">
        <v>200546</v>
      </c>
      <c r="K16" s="94">
        <f t="shared" si="0"/>
        <v>270946</v>
      </c>
      <c r="L16" s="80">
        <f t="shared" si="1"/>
        <v>27.6</v>
      </c>
      <c r="M16" s="87">
        <f t="shared" si="2"/>
        <v>60720</v>
      </c>
      <c r="N16" s="87">
        <f t="shared" si="3"/>
        <v>261516.6649972203</v>
      </c>
      <c r="O16" s="87">
        <f t="shared" si="4"/>
        <v>-9429.3350027796987</v>
      </c>
      <c r="P16" s="79"/>
    </row>
    <row r="17" spans="1:16" x14ac:dyDescent="0.2">
      <c r="A17" s="9"/>
      <c r="B17" s="43"/>
      <c r="C17" s="44"/>
      <c r="D17" s="45"/>
      <c r="E17" s="46"/>
      <c r="F17" s="47"/>
      <c r="G17" s="52"/>
      <c r="H17" s="60"/>
      <c r="I17" s="66"/>
      <c r="J17" s="52"/>
      <c r="K17" s="94">
        <f t="shared" si="0"/>
        <v>0</v>
      </c>
      <c r="L17" s="80">
        <f t="shared" si="1"/>
        <v>0</v>
      </c>
      <c r="M17" s="87"/>
      <c r="N17" s="87">
        <f t="shared" si="3"/>
        <v>0</v>
      </c>
      <c r="O17" s="87">
        <f t="shared" si="4"/>
        <v>0</v>
      </c>
      <c r="P17" s="79"/>
    </row>
    <row r="18" spans="1:16" x14ac:dyDescent="0.2">
      <c r="A18" s="12" t="s">
        <v>20</v>
      </c>
      <c r="B18" s="13">
        <f>14+10+12</f>
        <v>36</v>
      </c>
      <c r="C18" s="14">
        <v>31</v>
      </c>
      <c r="D18" s="15">
        <f>C18/B18%</f>
        <v>86.111111111111114</v>
      </c>
      <c r="E18" s="16">
        <v>3</v>
      </c>
      <c r="F18" s="20" t="s">
        <v>18</v>
      </c>
      <c r="G18" s="53">
        <v>0</v>
      </c>
      <c r="H18" s="60">
        <v>17</v>
      </c>
      <c r="I18" s="66">
        <v>11</v>
      </c>
      <c r="J18" s="51">
        <v>200546</v>
      </c>
      <c r="K18" s="94">
        <f t="shared" si="0"/>
        <v>200546</v>
      </c>
      <c r="L18" s="80">
        <f t="shared" si="1"/>
        <v>14.4</v>
      </c>
      <c r="M18" s="87">
        <f t="shared" si="2"/>
        <v>31680</v>
      </c>
      <c r="N18" s="87">
        <f t="shared" si="3"/>
        <v>136443.47738985406</v>
      </c>
      <c r="O18" s="87">
        <f t="shared" si="4"/>
        <v>-64102.522610145941</v>
      </c>
      <c r="P18" s="79"/>
    </row>
    <row r="19" spans="1:16" x14ac:dyDescent="0.2">
      <c r="A19" s="12" t="s">
        <v>29</v>
      </c>
      <c r="B19" s="13">
        <f>14+15+14</f>
        <v>43</v>
      </c>
      <c r="C19" s="14">
        <v>40</v>
      </c>
      <c r="D19" s="15">
        <f>C19/B19%</f>
        <v>93.023255813953483</v>
      </c>
      <c r="E19" s="16">
        <v>3</v>
      </c>
      <c r="F19" s="17" t="s">
        <v>30</v>
      </c>
      <c r="G19" s="51">
        <f>200*2*C19</f>
        <v>16000</v>
      </c>
      <c r="H19" s="60">
        <v>14</v>
      </c>
      <c r="I19" s="66">
        <v>13</v>
      </c>
      <c r="J19" s="51">
        <v>200546</v>
      </c>
      <c r="K19" s="94">
        <f t="shared" si="0"/>
        <v>216546</v>
      </c>
      <c r="L19" s="80">
        <f t="shared" si="1"/>
        <v>17.2</v>
      </c>
      <c r="M19" s="87">
        <f t="shared" si="2"/>
        <v>37840</v>
      </c>
      <c r="N19" s="87">
        <f t="shared" si="3"/>
        <v>162974.15354899236</v>
      </c>
      <c r="O19" s="87">
        <f t="shared" si="4"/>
        <v>-53571.846451007645</v>
      </c>
      <c r="P19" s="79"/>
    </row>
    <row r="20" spans="1:16" x14ac:dyDescent="0.2">
      <c r="A20" s="21" t="s">
        <v>31</v>
      </c>
      <c r="B20" s="13">
        <f>19+25+19</f>
        <v>63</v>
      </c>
      <c r="C20" s="14">
        <v>29</v>
      </c>
      <c r="D20" s="15">
        <f>C20/B20%</f>
        <v>46.031746031746032</v>
      </c>
      <c r="E20" s="16">
        <v>3</v>
      </c>
      <c r="F20" s="20" t="s">
        <v>18</v>
      </c>
      <c r="G20" s="53">
        <v>0</v>
      </c>
      <c r="H20" s="60">
        <v>20</v>
      </c>
      <c r="I20" s="66">
        <v>17</v>
      </c>
      <c r="J20" s="51">
        <v>202814</v>
      </c>
      <c r="K20" s="94">
        <f t="shared" si="0"/>
        <v>202814</v>
      </c>
      <c r="L20" s="80">
        <f t="shared" si="1"/>
        <v>25.200000000000003</v>
      </c>
      <c r="M20" s="87">
        <f t="shared" si="2"/>
        <v>55440.000000000007</v>
      </c>
      <c r="N20" s="87">
        <f t="shared" si="3"/>
        <v>238776.08543224464</v>
      </c>
      <c r="O20" s="87">
        <f t="shared" si="4"/>
        <v>35962.085432244639</v>
      </c>
      <c r="P20" s="79"/>
    </row>
    <row r="21" spans="1:16" x14ac:dyDescent="0.2">
      <c r="A21" s="12" t="s">
        <v>32</v>
      </c>
      <c r="B21" s="13">
        <f>58+62+54</f>
        <v>174</v>
      </c>
      <c r="C21" s="14">
        <v>164</v>
      </c>
      <c r="D21" s="15">
        <f>C21/B21%</f>
        <v>94.252873563218387</v>
      </c>
      <c r="E21" s="16">
        <v>4</v>
      </c>
      <c r="F21" s="17" t="s">
        <v>18</v>
      </c>
      <c r="G21" s="51">
        <v>0</v>
      </c>
      <c r="H21" s="60">
        <v>38</v>
      </c>
      <c r="I21" s="66">
        <v>39</v>
      </c>
      <c r="J21" s="51">
        <v>464455</v>
      </c>
      <c r="K21" s="94">
        <f t="shared" si="0"/>
        <v>464455</v>
      </c>
      <c r="L21" s="80">
        <f t="shared" si="1"/>
        <v>69.600000000000009</v>
      </c>
      <c r="M21" s="87">
        <f t="shared" si="2"/>
        <v>153120.00000000003</v>
      </c>
      <c r="N21" s="87">
        <f t="shared" si="3"/>
        <v>659476.80738429469</v>
      </c>
      <c r="O21" s="87">
        <f t="shared" si="4"/>
        <v>195021.80738429469</v>
      </c>
      <c r="P21" s="79"/>
    </row>
    <row r="22" spans="1:16" x14ac:dyDescent="0.2">
      <c r="A22" s="9"/>
      <c r="B22" s="10"/>
      <c r="C22" s="10"/>
      <c r="D22" s="10"/>
      <c r="E22" s="11"/>
      <c r="F22" s="10"/>
      <c r="G22" s="50"/>
      <c r="H22" s="60"/>
      <c r="I22" s="66"/>
      <c r="J22" s="50"/>
      <c r="K22" s="94">
        <f t="shared" si="0"/>
        <v>0</v>
      </c>
      <c r="L22" s="80">
        <f t="shared" si="1"/>
        <v>0</v>
      </c>
      <c r="M22" s="87"/>
      <c r="N22" s="87">
        <f t="shared" si="3"/>
        <v>0</v>
      </c>
      <c r="O22" s="87">
        <f t="shared" si="4"/>
        <v>0</v>
      </c>
      <c r="P22" s="79"/>
    </row>
    <row r="23" spans="1:16" x14ac:dyDescent="0.2">
      <c r="A23" s="12" t="s">
        <v>11</v>
      </c>
      <c r="B23" s="13">
        <f>24+17+15</f>
        <v>56</v>
      </c>
      <c r="C23" s="14">
        <v>32</v>
      </c>
      <c r="D23" s="15">
        <f t="shared" ref="D23:D28" si="5">C23/B23%</f>
        <v>57.142857142857139</v>
      </c>
      <c r="E23" s="16">
        <v>3</v>
      </c>
      <c r="F23" s="17" t="s">
        <v>12</v>
      </c>
      <c r="G23" s="51">
        <f>80*11*C23</f>
        <v>28160</v>
      </c>
      <c r="H23" s="60">
        <v>14</v>
      </c>
      <c r="I23" s="66">
        <v>11</v>
      </c>
      <c r="J23" s="51">
        <v>200546</v>
      </c>
      <c r="K23" s="94">
        <f t="shared" si="0"/>
        <v>228706</v>
      </c>
      <c r="L23" s="80">
        <f t="shared" si="1"/>
        <v>22.400000000000002</v>
      </c>
      <c r="M23" s="87">
        <f t="shared" si="2"/>
        <v>49280</v>
      </c>
      <c r="N23" s="87">
        <f t="shared" si="3"/>
        <v>212245.40927310634</v>
      </c>
      <c r="O23" s="87">
        <f t="shared" si="4"/>
        <v>-16460.590726893657</v>
      </c>
      <c r="P23" s="79"/>
    </row>
    <row r="24" spans="1:16" x14ac:dyDescent="0.2">
      <c r="A24" s="12" t="s">
        <v>15</v>
      </c>
      <c r="B24" s="13">
        <f>10+21+24</f>
        <v>55</v>
      </c>
      <c r="C24" s="14">
        <v>48</v>
      </c>
      <c r="D24" s="15">
        <f t="shared" si="5"/>
        <v>87.272727272727266</v>
      </c>
      <c r="E24" s="16">
        <v>4</v>
      </c>
      <c r="F24" s="17" t="s">
        <v>16</v>
      </c>
      <c r="G24" s="51">
        <f>100*11*C24</f>
        <v>52800</v>
      </c>
      <c r="H24" s="60">
        <v>32</v>
      </c>
      <c r="I24" s="66">
        <v>29</v>
      </c>
      <c r="J24" s="51">
        <v>345572</v>
      </c>
      <c r="K24" s="94">
        <f t="shared" si="0"/>
        <v>398372</v>
      </c>
      <c r="L24" s="80">
        <f t="shared" si="1"/>
        <v>22</v>
      </c>
      <c r="M24" s="87">
        <f t="shared" si="2"/>
        <v>48400</v>
      </c>
      <c r="N24" s="87">
        <f t="shared" si="3"/>
        <v>208455.31267894371</v>
      </c>
      <c r="O24" s="87">
        <f t="shared" si="4"/>
        <v>-189916.68732105629</v>
      </c>
      <c r="P24" s="79"/>
    </row>
    <row r="25" spans="1:16" x14ac:dyDescent="0.2">
      <c r="A25" s="12" t="s">
        <v>23</v>
      </c>
      <c r="B25" s="13">
        <f>19+24+20</f>
        <v>63</v>
      </c>
      <c r="C25" s="14">
        <v>53</v>
      </c>
      <c r="D25" s="15">
        <f>C25/B25%</f>
        <v>84.126984126984127</v>
      </c>
      <c r="E25" s="16">
        <v>3</v>
      </c>
      <c r="F25" s="17" t="s">
        <v>24</v>
      </c>
      <c r="G25" s="51">
        <f>100*2*C25</f>
        <v>10600</v>
      </c>
      <c r="H25" s="60">
        <v>25</v>
      </c>
      <c r="I25" s="66">
        <v>26</v>
      </c>
      <c r="J25" s="51">
        <v>310129</v>
      </c>
      <c r="K25" s="94">
        <f t="shared" si="0"/>
        <v>320729</v>
      </c>
      <c r="L25" s="80">
        <f t="shared" si="1"/>
        <v>25.200000000000003</v>
      </c>
      <c r="M25" s="87">
        <f t="shared" si="2"/>
        <v>55440.000000000007</v>
      </c>
      <c r="N25" s="87">
        <f t="shared" si="3"/>
        <v>238776.08543224464</v>
      </c>
      <c r="O25" s="87">
        <f t="shared" si="4"/>
        <v>-81952.914567755361</v>
      </c>
      <c r="P25" s="79"/>
    </row>
    <row r="26" spans="1:16" x14ac:dyDescent="0.2">
      <c r="A26" s="12" t="s">
        <v>22</v>
      </c>
      <c r="B26" s="13">
        <f>18+19+17</f>
        <v>54</v>
      </c>
      <c r="C26" s="14">
        <v>51</v>
      </c>
      <c r="D26" s="15">
        <f t="shared" si="5"/>
        <v>94.444444444444443</v>
      </c>
      <c r="E26" s="16">
        <v>3</v>
      </c>
      <c r="F26" s="17" t="s">
        <v>18</v>
      </c>
      <c r="G26" s="51">
        <v>0</v>
      </c>
      <c r="H26" s="60">
        <v>18</v>
      </c>
      <c r="I26" s="66">
        <v>15</v>
      </c>
      <c r="J26" s="51">
        <v>200546</v>
      </c>
      <c r="K26" s="94">
        <f t="shared" si="0"/>
        <v>200546</v>
      </c>
      <c r="L26" s="80">
        <f t="shared" si="1"/>
        <v>21.6</v>
      </c>
      <c r="M26" s="87">
        <f t="shared" si="2"/>
        <v>47520</v>
      </c>
      <c r="N26" s="87">
        <f t="shared" si="3"/>
        <v>204665.2160847811</v>
      </c>
      <c r="O26" s="87">
        <f t="shared" si="4"/>
        <v>4119.2160847811028</v>
      </c>
      <c r="P26" s="79"/>
    </row>
    <row r="27" spans="1:16" x14ac:dyDescent="0.2">
      <c r="A27" s="19" t="s">
        <v>28</v>
      </c>
      <c r="B27" s="13">
        <f>21+13+18</f>
        <v>52</v>
      </c>
      <c r="C27" s="14">
        <v>31</v>
      </c>
      <c r="D27" s="15">
        <f t="shared" si="5"/>
        <v>59.615384615384613</v>
      </c>
      <c r="E27" s="16">
        <v>3</v>
      </c>
      <c r="F27" s="17" t="s">
        <v>12</v>
      </c>
      <c r="G27" s="51">
        <f>80*11*C27</f>
        <v>27280</v>
      </c>
      <c r="H27" s="60">
        <v>10</v>
      </c>
      <c r="I27" s="73">
        <v>7</v>
      </c>
      <c r="J27" s="51">
        <v>200546</v>
      </c>
      <c r="K27" s="94">
        <f t="shared" si="0"/>
        <v>227826</v>
      </c>
      <c r="L27" s="80">
        <f t="shared" si="1"/>
        <v>20.8</v>
      </c>
      <c r="M27" s="87">
        <f t="shared" si="2"/>
        <v>45760</v>
      </c>
      <c r="N27" s="87">
        <f t="shared" si="3"/>
        <v>197085.02289645586</v>
      </c>
      <c r="O27" s="87">
        <f t="shared" si="4"/>
        <v>-30740.977103544137</v>
      </c>
      <c r="P27" s="79"/>
    </row>
    <row r="28" spans="1:16" x14ac:dyDescent="0.2">
      <c r="A28" s="12" t="s">
        <v>33</v>
      </c>
      <c r="B28" s="13">
        <f>19+23+19</f>
        <v>61</v>
      </c>
      <c r="C28" s="14">
        <v>58</v>
      </c>
      <c r="D28" s="15">
        <f t="shared" si="5"/>
        <v>95.081967213114751</v>
      </c>
      <c r="E28" s="16">
        <v>3</v>
      </c>
      <c r="F28" s="17" t="s">
        <v>18</v>
      </c>
      <c r="G28" s="51">
        <v>0</v>
      </c>
      <c r="H28" s="60">
        <v>35</v>
      </c>
      <c r="I28" s="66">
        <v>27</v>
      </c>
      <c r="J28" s="51">
        <v>321943</v>
      </c>
      <c r="K28" s="94">
        <f t="shared" si="0"/>
        <v>321943</v>
      </c>
      <c r="L28" s="80">
        <f t="shared" si="1"/>
        <v>24.400000000000002</v>
      </c>
      <c r="M28" s="87">
        <f t="shared" si="2"/>
        <v>53680</v>
      </c>
      <c r="N28" s="87">
        <f t="shared" si="3"/>
        <v>231195.8922439194</v>
      </c>
      <c r="O28" s="87">
        <f t="shared" si="4"/>
        <v>-90747.107756080601</v>
      </c>
      <c r="P28" s="79"/>
    </row>
    <row r="29" spans="1:16" x14ac:dyDescent="0.2">
      <c r="A29" s="22"/>
      <c r="B29" s="23"/>
      <c r="C29" s="24"/>
      <c r="D29" s="15"/>
      <c r="E29" s="25"/>
      <c r="F29" s="26"/>
      <c r="G29" s="54"/>
      <c r="H29" s="60"/>
      <c r="I29" s="66"/>
      <c r="J29" s="54"/>
      <c r="K29" s="94">
        <f t="shared" si="0"/>
        <v>0</v>
      </c>
      <c r="L29" s="80">
        <f t="shared" si="1"/>
        <v>0</v>
      </c>
      <c r="M29" s="87"/>
      <c r="N29" s="87">
        <f t="shared" si="3"/>
        <v>0</v>
      </c>
      <c r="O29" s="87"/>
      <c r="P29" s="79"/>
    </row>
    <row r="30" spans="1:16" x14ac:dyDescent="0.2">
      <c r="A30" s="22" t="s">
        <v>34</v>
      </c>
      <c r="B30" s="23">
        <v>0</v>
      </c>
      <c r="C30" s="24">
        <v>0</v>
      </c>
      <c r="D30" s="15">
        <v>0</v>
      </c>
      <c r="E30" s="25">
        <v>0</v>
      </c>
      <c r="F30" s="26">
        <v>0</v>
      </c>
      <c r="G30" s="54">
        <v>0</v>
      </c>
      <c r="H30" s="60"/>
      <c r="I30" s="66"/>
      <c r="J30" s="54"/>
      <c r="K30" s="94">
        <f t="shared" si="0"/>
        <v>0</v>
      </c>
      <c r="L30" s="80">
        <f t="shared" si="1"/>
        <v>0</v>
      </c>
      <c r="M30" s="87"/>
      <c r="N30" s="87"/>
      <c r="O30" s="87"/>
      <c r="P30" s="79"/>
    </row>
    <row r="31" spans="1:16" ht="13.5" thickBot="1" x14ac:dyDescent="0.25">
      <c r="A31" s="22"/>
      <c r="B31" s="23"/>
      <c r="C31" s="24"/>
      <c r="D31" s="23"/>
      <c r="E31" s="25"/>
      <c r="F31" s="23"/>
      <c r="G31" s="55"/>
      <c r="H31" s="61"/>
      <c r="I31" s="67"/>
      <c r="J31" s="55"/>
      <c r="K31" s="93"/>
      <c r="L31" s="80">
        <f t="shared" si="1"/>
        <v>0</v>
      </c>
      <c r="M31" s="85"/>
      <c r="N31" s="85"/>
      <c r="O31" s="85"/>
      <c r="P31" s="79"/>
    </row>
    <row r="32" spans="1:16" ht="13.5" thickBot="1" x14ac:dyDescent="0.25">
      <c r="A32" s="27" t="s">
        <v>35</v>
      </c>
      <c r="B32" s="28">
        <f>SUM(B5:B31)</f>
        <v>1439</v>
      </c>
      <c r="C32" s="28">
        <f>SUM(C5:C31)</f>
        <v>1103</v>
      </c>
      <c r="D32" s="74">
        <f>C32/B32%</f>
        <v>76.650451702571232</v>
      </c>
      <c r="E32" s="28"/>
      <c r="F32" s="28"/>
      <c r="G32" s="28">
        <f>SUM(G5:G31)</f>
        <v>226690</v>
      </c>
      <c r="H32" s="62">
        <f>SUM(H5:H31)</f>
        <v>408</v>
      </c>
      <c r="I32" s="68">
        <f>SUM(I5:I31)</f>
        <v>357</v>
      </c>
      <c r="J32" s="28">
        <f>SUM(J7:J31)</f>
        <v>4723226</v>
      </c>
      <c r="K32" s="28">
        <f>SUM(K7:K31)</f>
        <v>4949916</v>
      </c>
      <c r="L32" s="82">
        <f>SUM(L5:L31)</f>
        <v>575.59999999999991</v>
      </c>
      <c r="M32" s="81">
        <f>SUM(M5:M31)</f>
        <v>1266520</v>
      </c>
      <c r="N32" s="81">
        <f t="shared" ref="N32:O32" si="6">SUM(N5:N31)</f>
        <v>5453948.9989999989</v>
      </c>
      <c r="O32" s="81">
        <f t="shared" si="6"/>
        <v>504032.99900000007</v>
      </c>
      <c r="P32" s="79"/>
    </row>
    <row r="33" spans="1:16" x14ac:dyDescent="0.2">
      <c r="A33" s="10"/>
      <c r="B33" s="10"/>
      <c r="C33" s="30"/>
      <c r="D33" s="10"/>
      <c r="E33" s="11"/>
      <c r="F33" s="10"/>
      <c r="G33" s="50"/>
      <c r="H33" s="59"/>
      <c r="I33" s="65"/>
      <c r="J33" s="50"/>
      <c r="K33" s="93"/>
      <c r="L33" s="79"/>
      <c r="M33" s="85"/>
      <c r="N33" s="85"/>
      <c r="O33" s="85"/>
      <c r="P33" s="79"/>
    </row>
    <row r="34" spans="1:16" x14ac:dyDescent="0.2">
      <c r="A34" s="31" t="s">
        <v>36</v>
      </c>
      <c r="B34" s="10"/>
      <c r="C34" s="30"/>
      <c r="D34" s="10"/>
      <c r="E34" s="11"/>
      <c r="F34" s="10">
        <f>1439*40%</f>
        <v>575.6</v>
      </c>
      <c r="G34" s="50"/>
      <c r="H34" s="59"/>
      <c r="I34" s="65"/>
      <c r="J34" s="50"/>
      <c r="K34" s="93"/>
      <c r="L34" s="79"/>
      <c r="M34" s="85"/>
      <c r="N34" s="85"/>
      <c r="O34" s="85"/>
      <c r="P34" s="79"/>
    </row>
    <row r="35" spans="1:16" x14ac:dyDescent="0.2">
      <c r="A35" s="12" t="s">
        <v>37</v>
      </c>
      <c r="B35" s="13">
        <f>47+63+74</f>
        <v>184</v>
      </c>
      <c r="C35" s="14">
        <v>173</v>
      </c>
      <c r="D35" s="15">
        <f>C35/B35%</f>
        <v>94.021739130434781</v>
      </c>
      <c r="E35" s="32"/>
      <c r="F35" s="17"/>
      <c r="G35" s="51"/>
      <c r="H35" s="60">
        <v>125</v>
      </c>
      <c r="I35" s="66">
        <v>108</v>
      </c>
      <c r="J35" s="51">
        <v>1280685</v>
      </c>
      <c r="K35" s="94"/>
      <c r="L35" s="80">
        <f>C35</f>
        <v>173</v>
      </c>
      <c r="M35" s="87"/>
      <c r="N35" s="87"/>
      <c r="O35" s="87"/>
      <c r="P35" s="79"/>
    </row>
    <row r="36" spans="1:16" ht="24" x14ac:dyDescent="0.2">
      <c r="A36" s="33" t="s">
        <v>38</v>
      </c>
      <c r="B36" s="34"/>
      <c r="C36" s="35"/>
      <c r="D36" s="36"/>
      <c r="E36" s="37"/>
      <c r="F36" s="38" t="s">
        <v>39</v>
      </c>
      <c r="G36" s="57">
        <f>510*11*C35</f>
        <v>970530</v>
      </c>
      <c r="H36" s="63"/>
      <c r="I36" s="69"/>
      <c r="J36" s="57"/>
      <c r="K36" s="94"/>
      <c r="L36" s="79"/>
      <c r="M36" s="85"/>
      <c r="N36" s="85"/>
      <c r="O36" s="85"/>
      <c r="P36" s="79"/>
    </row>
    <row r="37" spans="1:16" ht="13.5" thickBot="1" x14ac:dyDescent="0.25">
      <c r="A37" s="39"/>
      <c r="B37" s="34"/>
      <c r="C37" s="35"/>
      <c r="D37" s="36"/>
      <c r="E37" s="37"/>
      <c r="F37" s="38"/>
      <c r="G37" s="57"/>
      <c r="H37" s="63"/>
      <c r="I37" s="69"/>
      <c r="J37" s="57"/>
      <c r="K37" s="94"/>
      <c r="L37" s="79"/>
      <c r="M37" s="88"/>
      <c r="N37" s="88"/>
      <c r="O37" s="88"/>
      <c r="P37" s="79"/>
    </row>
    <row r="38" spans="1:16" ht="13.5" thickBot="1" x14ac:dyDescent="0.25">
      <c r="A38" s="27" t="s">
        <v>6</v>
      </c>
      <c r="B38" s="28">
        <f>SUM(B32:B35)</f>
        <v>1623</v>
      </c>
      <c r="C38" s="28">
        <f t="shared" ref="C38" si="7">SUM(C32:C35)</f>
        <v>1276</v>
      </c>
      <c r="D38" s="29">
        <f>C38/B38%</f>
        <v>78.61983980283425</v>
      </c>
      <c r="E38" s="40"/>
      <c r="F38" s="28"/>
      <c r="G38" s="56">
        <f>SUM(G32:G37)</f>
        <v>1197220</v>
      </c>
      <c r="H38" s="62">
        <f>SUM(H32:H37)</f>
        <v>533</v>
      </c>
      <c r="I38" s="68">
        <f>SUM(I32:I37)</f>
        <v>465</v>
      </c>
      <c r="J38" s="56">
        <f>SUM(J32:J36)</f>
        <v>6003911</v>
      </c>
      <c r="K38" s="56"/>
      <c r="L38" s="81">
        <f>SUM(L32:L35)</f>
        <v>748.59999999999991</v>
      </c>
      <c r="M38" s="83"/>
      <c r="N38" s="83"/>
      <c r="O38" s="83"/>
      <c r="P38" s="79"/>
    </row>
    <row r="39" spans="1:16" x14ac:dyDescent="0.2">
      <c r="A39" s="4"/>
      <c r="B39" s="4"/>
      <c r="E39" s="5"/>
    </row>
    <row r="40" spans="1:16" x14ac:dyDescent="0.2">
      <c r="A40" s="41"/>
      <c r="B40" s="4"/>
      <c r="E40" s="5"/>
      <c r="L40" s="78"/>
      <c r="M40" s="1"/>
      <c r="N40" s="1"/>
      <c r="O40" s="1"/>
    </row>
    <row r="41" spans="1:16" x14ac:dyDescent="0.2">
      <c r="A41" s="41" t="s">
        <v>40</v>
      </c>
      <c r="B41" s="4"/>
      <c r="C41" s="42">
        <f>11311*1.0131*1.0095*1.0213</f>
        <v>11814.435426159134</v>
      </c>
      <c r="E41" s="5"/>
    </row>
    <row r="42" spans="1:16" x14ac:dyDescent="0.2">
      <c r="A42" s="4"/>
      <c r="B42" s="4"/>
      <c r="E42" s="5"/>
    </row>
    <row r="43" spans="1:16" x14ac:dyDescent="0.2">
      <c r="A43" s="41" t="s">
        <v>41</v>
      </c>
      <c r="B43" s="4"/>
      <c r="C43" s="42">
        <f>192000*1.0131*1.0095*1.0213</f>
        <v>200545.62831072003</v>
      </c>
      <c r="D43" s="4" t="s">
        <v>42</v>
      </c>
      <c r="E43" s="5"/>
      <c r="F43" s="4" t="s">
        <v>49</v>
      </c>
    </row>
    <row r="44" spans="1:16" x14ac:dyDescent="0.2">
      <c r="A44" s="4"/>
      <c r="B44" s="4"/>
      <c r="E44" s="5"/>
      <c r="F44" s="4" t="s">
        <v>50</v>
      </c>
      <c r="I44" s="72">
        <f>C47/I38</f>
        <v>13053.660212903225</v>
      </c>
      <c r="K44" s="72">
        <f>C51/L38</f>
        <v>7304.7208108469149</v>
      </c>
    </row>
    <row r="46" spans="1:16" x14ac:dyDescent="0.2">
      <c r="A46" s="70" t="s">
        <v>48</v>
      </c>
      <c r="F46" s="4" t="s">
        <v>62</v>
      </c>
      <c r="I46" s="72">
        <f>I27+I15+I13</f>
        <v>34</v>
      </c>
    </row>
    <row r="47" spans="1:16" x14ac:dyDescent="0.2">
      <c r="A47" t="s">
        <v>1</v>
      </c>
      <c r="C47" s="1">
        <f>6003909*1.011</f>
        <v>6069951.9989999998</v>
      </c>
      <c r="F47" s="4" t="s">
        <v>63</v>
      </c>
      <c r="I47" s="72">
        <f>I38-I46</f>
        <v>431</v>
      </c>
    </row>
    <row r="48" spans="1:16" x14ac:dyDescent="0.2">
      <c r="A48" t="s">
        <v>2</v>
      </c>
      <c r="C48" s="1">
        <v>0</v>
      </c>
    </row>
    <row r="49" spans="1:11" x14ac:dyDescent="0.2">
      <c r="A49" s="71" t="s">
        <v>52</v>
      </c>
      <c r="C49" s="1">
        <v>0</v>
      </c>
      <c r="F49" s="4" t="s">
        <v>51</v>
      </c>
      <c r="I49" s="72">
        <f>(C47+C50)/I47</f>
        <v>12687.503477958237</v>
      </c>
      <c r="K49" s="72"/>
    </row>
    <row r="50" spans="1:11" x14ac:dyDescent="0.2">
      <c r="A50" s="71" t="s">
        <v>73</v>
      </c>
      <c r="C50" s="1">
        <f>3*-200546</f>
        <v>-601638</v>
      </c>
      <c r="I50" s="72"/>
    </row>
    <row r="51" spans="1:11" ht="13.5" thickBot="1" x14ac:dyDescent="0.25">
      <c r="A51" t="s">
        <v>3</v>
      </c>
      <c r="C51" s="2">
        <f>SUM(C47:C50)</f>
        <v>5468313.9989999998</v>
      </c>
    </row>
    <row r="52" spans="1:11" ht="24.75" thickTop="1" x14ac:dyDescent="0.2">
      <c r="F52" s="77" t="s">
        <v>60</v>
      </c>
      <c r="G52" s="77" t="s">
        <v>61</v>
      </c>
      <c r="H52" t="s">
        <v>65</v>
      </c>
    </row>
    <row r="53" spans="1:11" x14ac:dyDescent="0.2">
      <c r="A53" s="71" t="s">
        <v>55</v>
      </c>
      <c r="C53" s="1">
        <v>1280685</v>
      </c>
      <c r="F53" s="75">
        <f>C53/I35</f>
        <v>11858.194444444445</v>
      </c>
      <c r="G53" s="48">
        <f>C53/L35</f>
        <v>7402.8034682080925</v>
      </c>
      <c r="H53" s="48">
        <f>500*11</f>
        <v>5500</v>
      </c>
      <c r="I53" s="1">
        <f>G53+H53</f>
        <v>12902.803468208092</v>
      </c>
    </row>
    <row r="54" spans="1:11" x14ac:dyDescent="0.2">
      <c r="C54" s="76"/>
      <c r="H54" s="48"/>
    </row>
    <row r="55" spans="1:11" x14ac:dyDescent="0.2">
      <c r="A55" s="71" t="s">
        <v>56</v>
      </c>
      <c r="C55" s="48">
        <f>C51-C53</f>
        <v>4187628.9989999998</v>
      </c>
      <c r="F55" s="75">
        <f>C55/I32</f>
        <v>11730.053218487394</v>
      </c>
      <c r="G55" s="48">
        <f>C55/L32</f>
        <v>7275.2414854065328</v>
      </c>
      <c r="H55" s="48">
        <f>200*11</f>
        <v>2200</v>
      </c>
      <c r="I55" s="1">
        <f>G55+H55</f>
        <v>9475.2414854065319</v>
      </c>
    </row>
    <row r="57" spans="1:11" x14ac:dyDescent="0.2">
      <c r="A57" s="71" t="s">
        <v>58</v>
      </c>
      <c r="B57" s="1">
        <v>200</v>
      </c>
    </row>
    <row r="58" spans="1:11" x14ac:dyDescent="0.2">
      <c r="A58" s="71" t="s">
        <v>59</v>
      </c>
      <c r="B58" s="1">
        <f>B57*11</f>
        <v>2200</v>
      </c>
    </row>
    <row r="60" spans="1:11" x14ac:dyDescent="0.2">
      <c r="A60" t="s">
        <v>72</v>
      </c>
    </row>
  </sheetData>
  <pageMargins left="0.74803149606299213" right="0.74803149606299213" top="0.98425196850393704" bottom="0.98425196850393704" header="0.51181102362204722" footer="0.51181102362204722"/>
  <pageSetup paperSize="8" scale="8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W49"/>
  <sheetViews>
    <sheetView showGridLines="0" tabSelected="1" zoomScale="85" zoomScaleNormal="85" workbookViewId="0">
      <selection activeCell="AA10" sqref="AA10"/>
    </sheetView>
  </sheetViews>
  <sheetFormatPr defaultRowHeight="12.75" x14ac:dyDescent="0.2"/>
  <cols>
    <col min="1" max="1" width="0.7109375" customWidth="1"/>
    <col min="2" max="2" width="1.42578125" customWidth="1"/>
    <col min="3" max="3" width="29" customWidth="1"/>
    <col min="4" max="4" width="10.5703125" customWidth="1"/>
    <col min="5" max="5" width="9.5703125" customWidth="1"/>
    <col min="6" max="6" width="9.28515625" style="109" hidden="1" customWidth="1"/>
    <col min="7" max="7" width="7.85546875" hidden="1" customWidth="1"/>
    <col min="8" max="8" width="8.85546875" style="109" hidden="1" customWidth="1"/>
    <col min="9" max="9" width="12.5703125" style="109" customWidth="1"/>
    <col min="10" max="10" width="1.42578125" customWidth="1"/>
    <col min="11" max="11" width="10.85546875" style="97" customWidth="1"/>
    <col min="12" max="12" width="10" style="97" customWidth="1"/>
    <col min="13" max="13" width="11.28515625" style="97" customWidth="1"/>
    <col min="14" max="14" width="11.5703125" style="97" customWidth="1"/>
    <col min="15" max="15" width="1.140625" customWidth="1"/>
    <col min="16" max="16" width="10.5703125" style="97" hidden="1" customWidth="1"/>
    <col min="17" max="18" width="10.5703125" style="97" customWidth="1"/>
    <col min="19" max="19" width="9.85546875" style="97" customWidth="1"/>
    <col min="20" max="20" width="12.140625" style="97" customWidth="1"/>
    <col min="21" max="21" width="11.140625" style="97" customWidth="1"/>
    <col min="22" max="22" width="1.42578125" style="97" customWidth="1"/>
    <col min="23" max="23" width="1.42578125" style="149" customWidth="1"/>
  </cols>
  <sheetData>
    <row r="1" spans="2:23" ht="18" x14ac:dyDescent="0.25">
      <c r="C1" s="164" t="s">
        <v>107</v>
      </c>
    </row>
    <row r="3" spans="2:23" ht="39" customHeight="1" thickBot="1" x14ac:dyDescent="0.35">
      <c r="J3" s="110"/>
      <c r="K3" s="167" t="s">
        <v>96</v>
      </c>
      <c r="L3" s="167"/>
      <c r="M3" s="167"/>
      <c r="N3" s="167"/>
      <c r="P3" s="167" t="s">
        <v>105</v>
      </c>
      <c r="Q3" s="167"/>
      <c r="R3" s="167"/>
      <c r="S3" s="167"/>
      <c r="T3" s="167"/>
      <c r="U3" s="167"/>
      <c r="V3" s="138"/>
      <c r="W3" s="150"/>
    </row>
    <row r="4" spans="2:23" s="107" customFormat="1" ht="50.25" customHeight="1" thickTop="1" thickBot="1" x14ac:dyDescent="0.25">
      <c r="B4" s="168" t="s">
        <v>90</v>
      </c>
      <c r="C4" s="166"/>
      <c r="D4" s="113" t="s">
        <v>75</v>
      </c>
      <c r="E4" s="166" t="s">
        <v>76</v>
      </c>
      <c r="F4" s="166"/>
      <c r="G4" s="166" t="s">
        <v>106</v>
      </c>
      <c r="H4" s="166"/>
      <c r="I4" s="113" t="s">
        <v>80</v>
      </c>
      <c r="J4" s="121"/>
      <c r="K4" s="98" t="s">
        <v>93</v>
      </c>
      <c r="L4" s="99" t="s">
        <v>91</v>
      </c>
      <c r="M4" s="99" t="s">
        <v>92</v>
      </c>
      <c r="N4" s="100" t="s">
        <v>86</v>
      </c>
      <c r="O4" s="121"/>
      <c r="P4" s="98" t="s">
        <v>75</v>
      </c>
      <c r="Q4" s="99" t="s">
        <v>103</v>
      </c>
      <c r="R4" s="99" t="s">
        <v>87</v>
      </c>
      <c r="S4" s="99" t="s">
        <v>94</v>
      </c>
      <c r="T4" s="99" t="s">
        <v>95</v>
      </c>
      <c r="U4" s="100" t="s">
        <v>86</v>
      </c>
      <c r="V4" s="139"/>
      <c r="W4" s="151"/>
    </row>
    <row r="5" spans="2:23" ht="12" customHeight="1" x14ac:dyDescent="0.2">
      <c r="B5" s="111"/>
      <c r="C5" s="110"/>
      <c r="D5" s="114"/>
      <c r="E5" s="114"/>
      <c r="F5" s="120" t="s">
        <v>78</v>
      </c>
      <c r="G5" s="114"/>
      <c r="H5" s="120" t="s">
        <v>78</v>
      </c>
      <c r="I5" s="120" t="s">
        <v>81</v>
      </c>
      <c r="J5" s="111"/>
      <c r="K5" s="101"/>
      <c r="L5" s="102"/>
      <c r="M5" s="102"/>
      <c r="N5" s="103"/>
      <c r="O5" s="111"/>
      <c r="P5" s="101"/>
      <c r="Q5" s="102"/>
      <c r="R5" s="102"/>
      <c r="S5" s="102"/>
      <c r="T5" s="102"/>
      <c r="U5" s="103"/>
      <c r="V5" s="102"/>
      <c r="W5" s="140"/>
    </row>
    <row r="6" spans="2:23" ht="18.75" customHeight="1" x14ac:dyDescent="0.2">
      <c r="B6" s="111"/>
      <c r="C6" s="112" t="s">
        <v>21</v>
      </c>
      <c r="D6" s="114">
        <v>39</v>
      </c>
      <c r="E6" s="114">
        <v>39</v>
      </c>
      <c r="F6" s="117">
        <f>E6/D6*100</f>
        <v>100</v>
      </c>
      <c r="G6" s="114">
        <v>17</v>
      </c>
      <c r="H6" s="117">
        <f>G6/D6*100</f>
        <v>43.589743589743591</v>
      </c>
      <c r="I6" s="122">
        <v>0</v>
      </c>
      <c r="J6" s="111"/>
      <c r="K6" s="101">
        <f>G6</f>
        <v>17</v>
      </c>
      <c r="L6" s="102">
        <v>203481</v>
      </c>
      <c r="M6" s="102">
        <f>(E6*I6)*11</f>
        <v>0</v>
      </c>
      <c r="N6" s="103">
        <f>L6+M6</f>
        <v>203481</v>
      </c>
      <c r="O6" s="111"/>
      <c r="P6" s="101">
        <f>D6</f>
        <v>39</v>
      </c>
      <c r="Q6" s="102">
        <f>P6*50%</f>
        <v>19.5</v>
      </c>
      <c r="R6" s="102">
        <f>K6</f>
        <v>17</v>
      </c>
      <c r="S6" s="102">
        <f>R6*$P$33</f>
        <v>208975.6875</v>
      </c>
      <c r="T6" s="102">
        <f>($Q6*$P$31)*11</f>
        <v>21450</v>
      </c>
      <c r="U6" s="103">
        <f>S6+T6</f>
        <v>230425.6875</v>
      </c>
      <c r="V6" s="102"/>
      <c r="W6" s="140"/>
    </row>
    <row r="7" spans="2:23" s="161" customFormat="1" ht="18.75" customHeight="1" x14ac:dyDescent="0.2">
      <c r="B7" s="130"/>
      <c r="C7" s="131" t="s">
        <v>17</v>
      </c>
      <c r="D7" s="132">
        <v>58</v>
      </c>
      <c r="E7" s="132">
        <v>56</v>
      </c>
      <c r="F7" s="133">
        <f t="shared" ref="F7:F27" si="0">E7/D7*100</f>
        <v>96.551724137931032</v>
      </c>
      <c r="G7" s="132">
        <v>23</v>
      </c>
      <c r="H7" s="133">
        <f t="shared" ref="H7:H29" si="1">G7/D7*100</f>
        <v>39.655172413793103</v>
      </c>
      <c r="I7" s="134">
        <v>0</v>
      </c>
      <c r="J7" s="130"/>
      <c r="K7" s="135">
        <f t="shared" ref="K7:K23" si="2">G7</f>
        <v>23</v>
      </c>
      <c r="L7" s="136">
        <v>279200</v>
      </c>
      <c r="M7" s="136">
        <f t="shared" ref="M7:M23" si="3">(E7*I7)*11</f>
        <v>0</v>
      </c>
      <c r="N7" s="137">
        <f t="shared" ref="N7:N23" si="4">L7+M7</f>
        <v>279200</v>
      </c>
      <c r="O7" s="130"/>
      <c r="P7" s="135">
        <f t="shared" ref="P7:P23" si="5">D7</f>
        <v>58</v>
      </c>
      <c r="Q7" s="136">
        <f t="shared" ref="Q7:Q23" si="6">P7*50%</f>
        <v>29</v>
      </c>
      <c r="R7" s="136">
        <f>K7</f>
        <v>23</v>
      </c>
      <c r="S7" s="136">
        <f>R7*$P$33</f>
        <v>282731.8125</v>
      </c>
      <c r="T7" s="136">
        <f t="shared" ref="T7:T23" si="7">($Q7*$P$31)*11</f>
        <v>31900</v>
      </c>
      <c r="U7" s="137">
        <f t="shared" ref="U7:U9" si="8">S7+T7</f>
        <v>314631.8125</v>
      </c>
      <c r="V7" s="140"/>
      <c r="W7" s="140"/>
    </row>
    <row r="8" spans="2:23" s="161" customFormat="1" ht="18.75" customHeight="1" x14ac:dyDescent="0.2">
      <c r="B8" s="154"/>
      <c r="C8" s="155" t="s">
        <v>4</v>
      </c>
      <c r="D8" s="156">
        <v>71</v>
      </c>
      <c r="E8" s="156">
        <v>68</v>
      </c>
      <c r="F8" s="157">
        <f t="shared" si="0"/>
        <v>95.774647887323937</v>
      </c>
      <c r="G8" s="156">
        <v>27</v>
      </c>
      <c r="H8" s="157">
        <f>G8/D8*100</f>
        <v>38.028169014084504</v>
      </c>
      <c r="I8" s="158">
        <v>0</v>
      </c>
      <c r="J8" s="154"/>
      <c r="K8" s="159">
        <f t="shared" si="2"/>
        <v>27</v>
      </c>
      <c r="L8" s="140">
        <v>324489</v>
      </c>
      <c r="M8" s="140">
        <f t="shared" si="3"/>
        <v>0</v>
      </c>
      <c r="N8" s="160">
        <f t="shared" si="4"/>
        <v>324489</v>
      </c>
      <c r="O8" s="154"/>
      <c r="P8" s="159">
        <f t="shared" si="5"/>
        <v>71</v>
      </c>
      <c r="Q8" s="140">
        <f t="shared" si="6"/>
        <v>35.5</v>
      </c>
      <c r="R8" s="140">
        <f>K8</f>
        <v>27</v>
      </c>
      <c r="S8" s="140">
        <f>R8*$P$33</f>
        <v>331902.5625</v>
      </c>
      <c r="T8" s="140">
        <f t="shared" si="7"/>
        <v>39050</v>
      </c>
      <c r="U8" s="160">
        <f t="shared" si="8"/>
        <v>370952.5625</v>
      </c>
      <c r="V8" s="140"/>
      <c r="W8" s="140"/>
    </row>
    <row r="9" spans="2:23" s="161" customFormat="1" ht="18.75" customHeight="1" x14ac:dyDescent="0.2">
      <c r="B9" s="130"/>
      <c r="C9" s="131" t="s">
        <v>25</v>
      </c>
      <c r="D9" s="132">
        <v>63</v>
      </c>
      <c r="E9" s="132">
        <v>34</v>
      </c>
      <c r="F9" s="133">
        <f t="shared" si="0"/>
        <v>53.968253968253968</v>
      </c>
      <c r="G9" s="132">
        <v>12</v>
      </c>
      <c r="H9" s="133">
        <f t="shared" si="1"/>
        <v>19.047619047619047</v>
      </c>
      <c r="I9" s="134">
        <v>50</v>
      </c>
      <c r="J9" s="130"/>
      <c r="K9" s="135">
        <f t="shared" si="2"/>
        <v>12</v>
      </c>
      <c r="L9" s="136">
        <v>202752</v>
      </c>
      <c r="M9" s="136">
        <f>(E9*I9)*11</f>
        <v>18700</v>
      </c>
      <c r="N9" s="137">
        <f t="shared" si="4"/>
        <v>221452</v>
      </c>
      <c r="O9" s="130"/>
      <c r="P9" s="135">
        <f t="shared" si="5"/>
        <v>63</v>
      </c>
      <c r="Q9" s="136">
        <f t="shared" si="6"/>
        <v>31.5</v>
      </c>
      <c r="R9" s="136">
        <f>K9</f>
        <v>12</v>
      </c>
      <c r="S9" s="136">
        <f>R9*$P$33</f>
        <v>147512.25</v>
      </c>
      <c r="T9" s="136">
        <f t="shared" si="7"/>
        <v>34650</v>
      </c>
      <c r="U9" s="137">
        <f t="shared" si="8"/>
        <v>182162.25</v>
      </c>
      <c r="V9" s="140"/>
      <c r="W9" s="140"/>
    </row>
    <row r="10" spans="2:23" s="161" customFormat="1" ht="11.25" customHeight="1" x14ac:dyDescent="0.2">
      <c r="B10" s="154"/>
      <c r="C10" s="162"/>
      <c r="D10" s="156"/>
      <c r="E10" s="156"/>
      <c r="F10" s="157"/>
      <c r="G10" s="156"/>
      <c r="H10" s="157"/>
      <c r="I10" s="158"/>
      <c r="J10" s="154"/>
      <c r="K10" s="159"/>
      <c r="L10" s="140"/>
      <c r="M10" s="140"/>
      <c r="N10" s="160"/>
      <c r="O10" s="154"/>
      <c r="P10" s="159">
        <f t="shared" si="5"/>
        <v>0</v>
      </c>
      <c r="Q10" s="140">
        <f t="shared" si="6"/>
        <v>0</v>
      </c>
      <c r="R10" s="140"/>
      <c r="S10" s="140"/>
      <c r="T10" s="140"/>
      <c r="U10" s="160"/>
      <c r="V10" s="140"/>
      <c r="W10" s="140"/>
    </row>
    <row r="11" spans="2:23" s="161" customFormat="1" ht="18.75" customHeight="1" x14ac:dyDescent="0.2">
      <c r="B11" s="154"/>
      <c r="C11" s="155" t="s">
        <v>5</v>
      </c>
      <c r="D11" s="156">
        <v>144</v>
      </c>
      <c r="E11" s="156">
        <v>124</v>
      </c>
      <c r="F11" s="157">
        <f t="shared" si="0"/>
        <v>86.111111111111114</v>
      </c>
      <c r="G11" s="156">
        <v>27</v>
      </c>
      <c r="H11" s="157">
        <f t="shared" si="1"/>
        <v>18.75</v>
      </c>
      <c r="I11" s="158">
        <v>0</v>
      </c>
      <c r="J11" s="154"/>
      <c r="K11" s="159">
        <f t="shared" si="2"/>
        <v>27</v>
      </c>
      <c r="L11" s="140">
        <v>323295</v>
      </c>
      <c r="M11" s="140">
        <f t="shared" si="3"/>
        <v>0</v>
      </c>
      <c r="N11" s="160">
        <f t="shared" si="4"/>
        <v>323295</v>
      </c>
      <c r="O11" s="154"/>
      <c r="P11" s="159">
        <f t="shared" si="5"/>
        <v>144</v>
      </c>
      <c r="Q11" s="140">
        <f t="shared" si="6"/>
        <v>72</v>
      </c>
      <c r="R11" s="140">
        <f>K11</f>
        <v>27</v>
      </c>
      <c r="S11" s="140">
        <f>R11*$P$33</f>
        <v>331902.5625</v>
      </c>
      <c r="T11" s="140">
        <f t="shared" si="7"/>
        <v>79200</v>
      </c>
      <c r="U11" s="160">
        <f t="shared" ref="U11:U12" si="9">S11+T11</f>
        <v>411102.5625</v>
      </c>
      <c r="V11" s="140"/>
      <c r="W11" s="140"/>
    </row>
    <row r="12" spans="2:23" s="161" customFormat="1" ht="18.75" customHeight="1" x14ac:dyDescent="0.2">
      <c r="B12" s="130"/>
      <c r="C12" s="131" t="s">
        <v>13</v>
      </c>
      <c r="D12" s="132">
        <v>69</v>
      </c>
      <c r="E12" s="132">
        <v>30</v>
      </c>
      <c r="F12" s="133">
        <f t="shared" si="0"/>
        <v>43.478260869565219</v>
      </c>
      <c r="G12" s="132">
        <v>13</v>
      </c>
      <c r="H12" s="133">
        <f t="shared" si="1"/>
        <v>18.840579710144929</v>
      </c>
      <c r="I12" s="134">
        <v>200</v>
      </c>
      <c r="J12" s="130"/>
      <c r="K12" s="135">
        <f t="shared" si="2"/>
        <v>13</v>
      </c>
      <c r="L12" s="136">
        <v>202752</v>
      </c>
      <c r="M12" s="136">
        <f>(E12*I12)*11</f>
        <v>66000</v>
      </c>
      <c r="N12" s="137">
        <f t="shared" si="4"/>
        <v>268752</v>
      </c>
      <c r="O12" s="130"/>
      <c r="P12" s="135">
        <f t="shared" si="5"/>
        <v>69</v>
      </c>
      <c r="Q12" s="136">
        <f t="shared" si="6"/>
        <v>34.5</v>
      </c>
      <c r="R12" s="136">
        <f>K12</f>
        <v>13</v>
      </c>
      <c r="S12" s="136">
        <f>R12*$P$33</f>
        <v>159804.9375</v>
      </c>
      <c r="T12" s="136">
        <f t="shared" si="7"/>
        <v>37950</v>
      </c>
      <c r="U12" s="137">
        <f t="shared" si="9"/>
        <v>197754.9375</v>
      </c>
      <c r="V12" s="140"/>
      <c r="W12" s="140"/>
    </row>
    <row r="13" spans="2:23" s="161" customFormat="1" ht="11.25" customHeight="1" x14ac:dyDescent="0.2">
      <c r="B13" s="154"/>
      <c r="C13" s="162"/>
      <c r="D13" s="156"/>
      <c r="E13" s="156"/>
      <c r="F13" s="157"/>
      <c r="G13" s="156"/>
      <c r="H13" s="157"/>
      <c r="I13" s="158"/>
      <c r="J13" s="154"/>
      <c r="K13" s="159"/>
      <c r="L13" s="140"/>
      <c r="M13" s="140"/>
      <c r="N13" s="160"/>
      <c r="O13" s="154"/>
      <c r="P13" s="159">
        <f t="shared" si="5"/>
        <v>0</v>
      </c>
      <c r="Q13" s="140">
        <f t="shared" si="6"/>
        <v>0</v>
      </c>
      <c r="R13" s="140"/>
      <c r="S13" s="140"/>
      <c r="T13" s="140"/>
      <c r="U13" s="160"/>
      <c r="V13" s="140"/>
      <c r="W13" s="140"/>
    </row>
    <row r="14" spans="2:23" s="161" customFormat="1" ht="18.75" customHeight="1" x14ac:dyDescent="0.2">
      <c r="B14" s="154"/>
      <c r="C14" s="155" t="s">
        <v>20</v>
      </c>
      <c r="D14" s="156">
        <v>36</v>
      </c>
      <c r="E14" s="156">
        <v>32</v>
      </c>
      <c r="F14" s="157">
        <f t="shared" si="0"/>
        <v>88.888888888888886</v>
      </c>
      <c r="G14" s="156">
        <v>21</v>
      </c>
      <c r="H14" s="157">
        <f t="shared" si="1"/>
        <v>58.333333333333336</v>
      </c>
      <c r="I14" s="158">
        <v>0</v>
      </c>
      <c r="J14" s="154"/>
      <c r="K14" s="159">
        <f t="shared" si="2"/>
        <v>21</v>
      </c>
      <c r="L14" s="140">
        <v>248842</v>
      </c>
      <c r="M14" s="140">
        <f t="shared" si="3"/>
        <v>0</v>
      </c>
      <c r="N14" s="160">
        <f t="shared" si="4"/>
        <v>248842</v>
      </c>
      <c r="O14" s="154"/>
      <c r="P14" s="159">
        <f t="shared" si="5"/>
        <v>36</v>
      </c>
      <c r="Q14" s="140">
        <f t="shared" si="6"/>
        <v>18</v>
      </c>
      <c r="R14" s="140">
        <f>K14</f>
        <v>21</v>
      </c>
      <c r="S14" s="140">
        <f>R14*$P$33</f>
        <v>258146.4375</v>
      </c>
      <c r="T14" s="140">
        <f t="shared" si="7"/>
        <v>19800</v>
      </c>
      <c r="U14" s="160">
        <f t="shared" ref="U14:U17" si="10">S14+T14</f>
        <v>277946.4375</v>
      </c>
      <c r="V14" s="140"/>
      <c r="W14" s="140"/>
    </row>
    <row r="15" spans="2:23" s="161" customFormat="1" ht="18.75" customHeight="1" x14ac:dyDescent="0.2">
      <c r="B15" s="130"/>
      <c r="C15" s="131" t="s">
        <v>29</v>
      </c>
      <c r="D15" s="132">
        <v>43</v>
      </c>
      <c r="E15" s="132">
        <v>42</v>
      </c>
      <c r="F15" s="133">
        <f t="shared" si="0"/>
        <v>97.674418604651152</v>
      </c>
      <c r="G15" s="132">
        <v>16</v>
      </c>
      <c r="H15" s="133">
        <f t="shared" si="1"/>
        <v>37.209302325581397</v>
      </c>
      <c r="I15" s="134">
        <v>200</v>
      </c>
      <c r="J15" s="130"/>
      <c r="K15" s="135">
        <f t="shared" si="2"/>
        <v>16</v>
      </c>
      <c r="L15" s="136">
        <v>202752</v>
      </c>
      <c r="M15" s="136">
        <f>(E15*I15)*2</f>
        <v>16800</v>
      </c>
      <c r="N15" s="137">
        <f t="shared" si="4"/>
        <v>219552</v>
      </c>
      <c r="O15" s="130"/>
      <c r="P15" s="135">
        <f t="shared" si="5"/>
        <v>43</v>
      </c>
      <c r="Q15" s="136">
        <f t="shared" si="6"/>
        <v>21.5</v>
      </c>
      <c r="R15" s="136">
        <f>K15</f>
        <v>16</v>
      </c>
      <c r="S15" s="136">
        <f>R15*$P$33</f>
        <v>196683</v>
      </c>
      <c r="T15" s="136">
        <f t="shared" si="7"/>
        <v>23650</v>
      </c>
      <c r="U15" s="137">
        <f t="shared" si="10"/>
        <v>220333</v>
      </c>
      <c r="V15" s="140"/>
      <c r="W15" s="140"/>
    </row>
    <row r="16" spans="2:23" s="161" customFormat="1" ht="18.75" customHeight="1" x14ac:dyDescent="0.2">
      <c r="B16" s="154"/>
      <c r="C16" s="155" t="s">
        <v>31</v>
      </c>
      <c r="D16" s="156">
        <v>63</v>
      </c>
      <c r="E16" s="156">
        <v>30</v>
      </c>
      <c r="F16" s="157">
        <f t="shared" si="0"/>
        <v>47.619047619047613</v>
      </c>
      <c r="G16" s="156">
        <v>18</v>
      </c>
      <c r="H16" s="157">
        <f t="shared" si="1"/>
        <v>28.571428571428569</v>
      </c>
      <c r="I16" s="158">
        <v>0</v>
      </c>
      <c r="J16" s="154"/>
      <c r="K16" s="159">
        <f t="shared" si="2"/>
        <v>18</v>
      </c>
      <c r="L16" s="140">
        <v>214004</v>
      </c>
      <c r="M16" s="140">
        <f t="shared" si="3"/>
        <v>0</v>
      </c>
      <c r="N16" s="160">
        <f t="shared" si="4"/>
        <v>214004</v>
      </c>
      <c r="O16" s="154"/>
      <c r="P16" s="159">
        <f t="shared" si="5"/>
        <v>63</v>
      </c>
      <c r="Q16" s="140">
        <f t="shared" si="6"/>
        <v>31.5</v>
      </c>
      <c r="R16" s="140">
        <f>K16</f>
        <v>18</v>
      </c>
      <c r="S16" s="140">
        <f>R16*$P$33</f>
        <v>221268.375</v>
      </c>
      <c r="T16" s="140">
        <f t="shared" si="7"/>
        <v>34650</v>
      </c>
      <c r="U16" s="160">
        <f t="shared" si="10"/>
        <v>255918.375</v>
      </c>
      <c r="V16" s="140"/>
      <c r="W16" s="140"/>
    </row>
    <row r="17" spans="2:23" s="161" customFormat="1" ht="18.75" customHeight="1" x14ac:dyDescent="0.2">
      <c r="B17" s="130"/>
      <c r="C17" s="131" t="s">
        <v>32</v>
      </c>
      <c r="D17" s="132">
        <v>174</v>
      </c>
      <c r="E17" s="132">
        <v>174</v>
      </c>
      <c r="F17" s="133">
        <f t="shared" si="0"/>
        <v>100</v>
      </c>
      <c r="G17" s="132">
        <v>37</v>
      </c>
      <c r="H17" s="133">
        <f t="shared" si="1"/>
        <v>21.264367816091951</v>
      </c>
      <c r="I17" s="134">
        <v>0</v>
      </c>
      <c r="J17" s="130"/>
      <c r="K17" s="135">
        <f t="shared" si="2"/>
        <v>37</v>
      </c>
      <c r="L17" s="136">
        <v>444929</v>
      </c>
      <c r="M17" s="136">
        <f t="shared" si="3"/>
        <v>0</v>
      </c>
      <c r="N17" s="137">
        <f t="shared" si="4"/>
        <v>444929</v>
      </c>
      <c r="O17" s="130"/>
      <c r="P17" s="135">
        <f t="shared" si="5"/>
        <v>174</v>
      </c>
      <c r="Q17" s="136">
        <f t="shared" si="6"/>
        <v>87</v>
      </c>
      <c r="R17" s="136">
        <f>K17</f>
        <v>37</v>
      </c>
      <c r="S17" s="136">
        <f>R17*$P$33</f>
        <v>454829.4375</v>
      </c>
      <c r="T17" s="136">
        <f t="shared" si="7"/>
        <v>95700</v>
      </c>
      <c r="U17" s="137">
        <f t="shared" si="10"/>
        <v>550529.4375</v>
      </c>
      <c r="V17" s="140"/>
      <c r="W17" s="140"/>
    </row>
    <row r="18" spans="2:23" s="161" customFormat="1" ht="11.25" customHeight="1" x14ac:dyDescent="0.2">
      <c r="B18" s="154"/>
      <c r="C18" s="162"/>
      <c r="D18" s="156"/>
      <c r="E18" s="156"/>
      <c r="F18" s="157"/>
      <c r="G18" s="156"/>
      <c r="H18" s="157"/>
      <c r="I18" s="158"/>
      <c r="J18" s="154"/>
      <c r="K18" s="159">
        <f t="shared" si="2"/>
        <v>0</v>
      </c>
      <c r="L18" s="140"/>
      <c r="M18" s="140"/>
      <c r="N18" s="160"/>
      <c r="O18" s="154"/>
      <c r="P18" s="159">
        <f t="shared" si="5"/>
        <v>0</v>
      </c>
      <c r="Q18" s="140">
        <f t="shared" si="6"/>
        <v>0</v>
      </c>
      <c r="R18" s="140"/>
      <c r="S18" s="140"/>
      <c r="T18" s="140"/>
      <c r="U18" s="160"/>
      <c r="V18" s="140"/>
      <c r="W18" s="140"/>
    </row>
    <row r="19" spans="2:23" s="161" customFormat="1" ht="18.75" customHeight="1" x14ac:dyDescent="0.2">
      <c r="B19" s="154"/>
      <c r="C19" s="155" t="s">
        <v>11</v>
      </c>
      <c r="D19" s="156">
        <v>56</v>
      </c>
      <c r="E19" s="156">
        <v>30</v>
      </c>
      <c r="F19" s="157">
        <f t="shared" si="0"/>
        <v>53.571428571428569</v>
      </c>
      <c r="G19" s="156">
        <v>13</v>
      </c>
      <c r="H19" s="157">
        <f t="shared" si="1"/>
        <v>23.214285714285715</v>
      </c>
      <c r="I19" s="158">
        <v>80</v>
      </c>
      <c r="J19" s="154"/>
      <c r="K19" s="159">
        <f t="shared" si="2"/>
        <v>13</v>
      </c>
      <c r="L19" s="140">
        <v>202752</v>
      </c>
      <c r="M19" s="140">
        <f t="shared" si="3"/>
        <v>26400</v>
      </c>
      <c r="N19" s="160">
        <f t="shared" si="4"/>
        <v>229152</v>
      </c>
      <c r="O19" s="154"/>
      <c r="P19" s="159">
        <f t="shared" si="5"/>
        <v>56</v>
      </c>
      <c r="Q19" s="140">
        <f t="shared" si="6"/>
        <v>28</v>
      </c>
      <c r="R19" s="140">
        <f>K19</f>
        <v>13</v>
      </c>
      <c r="S19" s="140">
        <f>R19*$P$33</f>
        <v>159804.9375</v>
      </c>
      <c r="T19" s="140">
        <f t="shared" si="7"/>
        <v>30800</v>
      </c>
      <c r="U19" s="160">
        <f t="shared" ref="U19:U23" si="11">S19+T19</f>
        <v>190604.9375</v>
      </c>
      <c r="V19" s="140"/>
      <c r="W19" s="140"/>
    </row>
    <row r="20" spans="2:23" s="161" customFormat="1" ht="18.75" customHeight="1" x14ac:dyDescent="0.2">
      <c r="B20" s="130"/>
      <c r="C20" s="131" t="s">
        <v>15</v>
      </c>
      <c r="D20" s="132">
        <v>55</v>
      </c>
      <c r="E20" s="132">
        <v>45</v>
      </c>
      <c r="F20" s="133">
        <f t="shared" si="0"/>
        <v>81.818181818181827</v>
      </c>
      <c r="G20" s="132">
        <v>30</v>
      </c>
      <c r="H20" s="133">
        <f t="shared" si="1"/>
        <v>54.54545454545454</v>
      </c>
      <c r="I20" s="134">
        <v>100</v>
      </c>
      <c r="J20" s="130"/>
      <c r="K20" s="135">
        <f t="shared" si="2"/>
        <v>30</v>
      </c>
      <c r="L20" s="136">
        <v>356092</v>
      </c>
      <c r="M20" s="136">
        <f t="shared" si="3"/>
        <v>49500</v>
      </c>
      <c r="N20" s="137">
        <f t="shared" si="4"/>
        <v>405592</v>
      </c>
      <c r="O20" s="130"/>
      <c r="P20" s="135">
        <f t="shared" si="5"/>
        <v>55</v>
      </c>
      <c r="Q20" s="136">
        <f t="shared" si="6"/>
        <v>27.5</v>
      </c>
      <c r="R20" s="136">
        <f>K20</f>
        <v>30</v>
      </c>
      <c r="S20" s="136">
        <f>R20*$P$33</f>
        <v>368780.625</v>
      </c>
      <c r="T20" s="136">
        <f t="shared" si="7"/>
        <v>30250</v>
      </c>
      <c r="U20" s="137">
        <f t="shared" si="11"/>
        <v>399030.625</v>
      </c>
      <c r="V20" s="140"/>
      <c r="W20" s="140"/>
    </row>
    <row r="21" spans="2:23" s="161" customFormat="1" ht="18.75" customHeight="1" x14ac:dyDescent="0.2">
      <c r="B21" s="154"/>
      <c r="C21" s="155" t="s">
        <v>23</v>
      </c>
      <c r="D21" s="156">
        <v>63</v>
      </c>
      <c r="E21" s="156">
        <v>58</v>
      </c>
      <c r="F21" s="157">
        <f t="shared" si="0"/>
        <v>92.063492063492063</v>
      </c>
      <c r="G21" s="156">
        <v>24</v>
      </c>
      <c r="H21" s="157">
        <f t="shared" si="1"/>
        <v>38.095238095238095</v>
      </c>
      <c r="I21" s="163">
        <v>100</v>
      </c>
      <c r="J21" s="154"/>
      <c r="K21" s="159">
        <f t="shared" si="2"/>
        <v>24</v>
      </c>
      <c r="L21" s="140">
        <v>285172</v>
      </c>
      <c r="M21" s="140">
        <f>(E21*I21)*2</f>
        <v>11600</v>
      </c>
      <c r="N21" s="160">
        <f t="shared" si="4"/>
        <v>296772</v>
      </c>
      <c r="O21" s="154"/>
      <c r="P21" s="159">
        <f t="shared" si="5"/>
        <v>63</v>
      </c>
      <c r="Q21" s="140">
        <f t="shared" si="6"/>
        <v>31.5</v>
      </c>
      <c r="R21" s="140">
        <f>K21</f>
        <v>24</v>
      </c>
      <c r="S21" s="140">
        <f>R21*$P$33</f>
        <v>295024.5</v>
      </c>
      <c r="T21" s="140">
        <f t="shared" si="7"/>
        <v>34650</v>
      </c>
      <c r="U21" s="160">
        <f t="shared" si="11"/>
        <v>329674.5</v>
      </c>
      <c r="V21" s="140"/>
      <c r="W21" s="140"/>
    </row>
    <row r="22" spans="2:23" s="161" customFormat="1" ht="18.75" customHeight="1" x14ac:dyDescent="0.2">
      <c r="B22" s="130"/>
      <c r="C22" s="131" t="s">
        <v>22</v>
      </c>
      <c r="D22" s="132">
        <v>54</v>
      </c>
      <c r="E22" s="132">
        <v>52</v>
      </c>
      <c r="F22" s="133">
        <f t="shared" si="0"/>
        <v>96.296296296296291</v>
      </c>
      <c r="G22" s="132">
        <v>20</v>
      </c>
      <c r="H22" s="133">
        <f t="shared" si="1"/>
        <v>37.037037037037038</v>
      </c>
      <c r="I22" s="134">
        <v>0</v>
      </c>
      <c r="J22" s="130"/>
      <c r="K22" s="135">
        <f t="shared" si="2"/>
        <v>20</v>
      </c>
      <c r="L22" s="136">
        <v>234409</v>
      </c>
      <c r="M22" s="136">
        <f t="shared" si="3"/>
        <v>0</v>
      </c>
      <c r="N22" s="137">
        <f t="shared" si="4"/>
        <v>234409</v>
      </c>
      <c r="O22" s="130"/>
      <c r="P22" s="135">
        <f t="shared" si="5"/>
        <v>54</v>
      </c>
      <c r="Q22" s="136">
        <f t="shared" si="6"/>
        <v>27</v>
      </c>
      <c r="R22" s="136">
        <f>K22</f>
        <v>20</v>
      </c>
      <c r="S22" s="136">
        <f>R22*$P$33</f>
        <v>245853.75</v>
      </c>
      <c r="T22" s="136">
        <f t="shared" si="7"/>
        <v>29700</v>
      </c>
      <c r="U22" s="137">
        <f t="shared" si="11"/>
        <v>275553.75</v>
      </c>
      <c r="V22" s="140"/>
      <c r="W22" s="140"/>
    </row>
    <row r="23" spans="2:23" ht="18.75" customHeight="1" x14ac:dyDescent="0.2">
      <c r="B23" s="111"/>
      <c r="C23" s="112" t="s">
        <v>33</v>
      </c>
      <c r="D23" s="114">
        <v>61</v>
      </c>
      <c r="E23" s="114">
        <v>60</v>
      </c>
      <c r="F23" s="117">
        <f t="shared" si="0"/>
        <v>98.360655737704917</v>
      </c>
      <c r="G23" s="114">
        <v>26</v>
      </c>
      <c r="H23" s="117">
        <f t="shared" si="1"/>
        <v>42.622950819672127</v>
      </c>
      <c r="I23" s="122">
        <v>0</v>
      </c>
      <c r="J23" s="111"/>
      <c r="K23" s="101">
        <f t="shared" si="2"/>
        <v>26</v>
      </c>
      <c r="L23" s="102">
        <v>312047</v>
      </c>
      <c r="M23" s="102">
        <f t="shared" si="3"/>
        <v>0</v>
      </c>
      <c r="N23" s="103">
        <f t="shared" si="4"/>
        <v>312047</v>
      </c>
      <c r="O23" s="111"/>
      <c r="P23" s="101">
        <f t="shared" si="5"/>
        <v>61</v>
      </c>
      <c r="Q23" s="102">
        <f t="shared" si="6"/>
        <v>30.5</v>
      </c>
      <c r="R23" s="102">
        <f>K23</f>
        <v>26</v>
      </c>
      <c r="S23" s="102">
        <f>R23*$P$33</f>
        <v>319609.875</v>
      </c>
      <c r="T23" s="102">
        <f t="shared" si="7"/>
        <v>33550</v>
      </c>
      <c r="U23" s="103">
        <f t="shared" si="11"/>
        <v>353159.875</v>
      </c>
      <c r="V23" s="102"/>
      <c r="W23" s="140"/>
    </row>
    <row r="24" spans="2:23" ht="11.25" customHeight="1" x14ac:dyDescent="0.2">
      <c r="B24" s="111"/>
      <c r="C24" s="112"/>
      <c r="D24" s="114"/>
      <c r="E24" s="114"/>
      <c r="F24" s="117"/>
      <c r="G24" s="114"/>
      <c r="H24" s="117"/>
      <c r="I24" s="122"/>
      <c r="J24" s="111"/>
      <c r="K24" s="101"/>
      <c r="L24" s="102"/>
      <c r="M24" s="102"/>
      <c r="N24" s="103"/>
      <c r="O24" s="111"/>
      <c r="P24" s="101"/>
      <c r="Q24" s="102"/>
      <c r="R24" s="102"/>
      <c r="S24" s="102"/>
      <c r="T24" s="102"/>
      <c r="U24" s="103"/>
      <c r="V24" s="102"/>
      <c r="W24" s="140"/>
    </row>
    <row r="25" spans="2:23" ht="18.75" customHeight="1" x14ac:dyDescent="0.2">
      <c r="B25" s="169" t="s">
        <v>35</v>
      </c>
      <c r="C25" s="170"/>
      <c r="D25" s="115">
        <f>SUM(D6:D23)</f>
        <v>1049</v>
      </c>
      <c r="E25" s="115">
        <f>SUM(E6:E23)</f>
        <v>874</v>
      </c>
      <c r="F25" s="118">
        <f>E25/D25*100</f>
        <v>83.31744518589133</v>
      </c>
      <c r="G25" s="115">
        <f>SUM(G6:G23)</f>
        <v>324</v>
      </c>
      <c r="H25" s="118">
        <f t="shared" si="1"/>
        <v>30.886558627264058</v>
      </c>
      <c r="I25" s="127"/>
      <c r="J25" s="111"/>
      <c r="K25" s="126">
        <f>SUM(K6:K24)</f>
        <v>324</v>
      </c>
      <c r="L25" s="147">
        <f>SUM(L6:L24)</f>
        <v>4036968</v>
      </c>
      <c r="M25" s="147">
        <f>SUM(M6:M24)</f>
        <v>189000</v>
      </c>
      <c r="N25" s="128">
        <f>SUM(N6:N24)</f>
        <v>4225968</v>
      </c>
      <c r="O25" s="111"/>
      <c r="P25" s="126">
        <f>SUM(P6:P24)</f>
        <v>1049</v>
      </c>
      <c r="Q25" s="147">
        <f t="shared" ref="Q25" si="12">SUM(Q6:Q24)</f>
        <v>524.5</v>
      </c>
      <c r="R25" s="147">
        <f>SUM(R6:R24)</f>
        <v>324</v>
      </c>
      <c r="S25" s="147">
        <f>SUM(S6:S24)</f>
        <v>3982830.75</v>
      </c>
      <c r="T25" s="147">
        <f>SUM(T6:T24)</f>
        <v>576950</v>
      </c>
      <c r="U25" s="128">
        <f>SUM(U6:U24)</f>
        <v>4559780.75</v>
      </c>
      <c r="V25" s="140"/>
      <c r="W25" s="140"/>
    </row>
    <row r="26" spans="2:23" ht="11.25" customHeight="1" x14ac:dyDescent="0.2">
      <c r="B26" s="111"/>
      <c r="C26" s="110"/>
      <c r="D26" s="114"/>
      <c r="E26" s="114"/>
      <c r="F26" s="117"/>
      <c r="G26" s="114"/>
      <c r="H26" s="117"/>
      <c r="I26" s="122"/>
      <c r="J26" s="111"/>
      <c r="K26" s="101"/>
      <c r="L26" s="102"/>
      <c r="M26" s="102"/>
      <c r="N26" s="103"/>
      <c r="O26" s="111"/>
      <c r="P26" s="101"/>
      <c r="Q26" s="102"/>
      <c r="R26" s="102"/>
      <c r="S26" s="102"/>
      <c r="T26" s="102"/>
      <c r="U26" s="103"/>
      <c r="V26" s="102"/>
      <c r="W26" s="140"/>
    </row>
    <row r="27" spans="2:23" ht="18.75" customHeight="1" x14ac:dyDescent="0.2">
      <c r="B27" s="111"/>
      <c r="C27" s="112" t="s">
        <v>79</v>
      </c>
      <c r="D27" s="114">
        <v>184</v>
      </c>
      <c r="E27" s="114">
        <v>161</v>
      </c>
      <c r="F27" s="117">
        <f t="shared" si="0"/>
        <v>87.5</v>
      </c>
      <c r="G27" s="114">
        <v>140</v>
      </c>
      <c r="H27" s="117">
        <f t="shared" si="1"/>
        <v>76.08695652173914</v>
      </c>
      <c r="I27" s="122">
        <v>510</v>
      </c>
      <c r="J27" s="111"/>
      <c r="K27" s="101">
        <f>$G$27</f>
        <v>140</v>
      </c>
      <c r="L27" s="102">
        <f>$D$47</f>
        <v>1666840</v>
      </c>
      <c r="M27" s="102">
        <f>$E$27*$I$27*11</f>
        <v>903210</v>
      </c>
      <c r="N27" s="103">
        <f>L27+M27</f>
        <v>2570050</v>
      </c>
      <c r="O27" s="111"/>
      <c r="P27" s="101">
        <f t="shared" ref="P27" si="13">D27</f>
        <v>184</v>
      </c>
      <c r="Q27" s="102">
        <f>E27</f>
        <v>161</v>
      </c>
      <c r="R27" s="102">
        <f>$G$27</f>
        <v>140</v>
      </c>
      <c r="S27" s="102">
        <f>R27*$P$33</f>
        <v>1720976.25</v>
      </c>
      <c r="T27" s="102">
        <f>$E$27*$I$27*11</f>
        <v>903210</v>
      </c>
      <c r="U27" s="103">
        <f t="shared" ref="U27" si="14">S27+T27</f>
        <v>2624186.25</v>
      </c>
      <c r="V27" s="102"/>
      <c r="W27" s="140"/>
    </row>
    <row r="28" spans="2:23" ht="11.25" customHeight="1" x14ac:dyDescent="0.2">
      <c r="B28" s="111"/>
      <c r="C28" s="112"/>
      <c r="D28" s="114"/>
      <c r="E28" s="114"/>
      <c r="F28" s="117"/>
      <c r="G28" s="114"/>
      <c r="H28" s="117"/>
      <c r="I28" s="117"/>
      <c r="J28" s="111"/>
      <c r="K28" s="101"/>
      <c r="L28" s="102"/>
      <c r="M28" s="102"/>
      <c r="N28" s="103"/>
      <c r="O28" s="111"/>
      <c r="P28" s="101"/>
      <c r="Q28" s="102"/>
      <c r="R28" s="102"/>
      <c r="S28" s="102"/>
      <c r="T28" s="102"/>
      <c r="U28" s="103"/>
      <c r="V28" s="102"/>
      <c r="W28" s="140"/>
    </row>
    <row r="29" spans="2:23" ht="18.75" customHeight="1" thickBot="1" x14ac:dyDescent="0.25">
      <c r="B29" s="171" t="s">
        <v>77</v>
      </c>
      <c r="C29" s="172"/>
      <c r="D29" s="116">
        <f>SUM(D25:D28)</f>
        <v>1233</v>
      </c>
      <c r="E29" s="116">
        <f t="shared" ref="E29:G29" si="15">SUM(E25:E28)</f>
        <v>1035</v>
      </c>
      <c r="F29" s="119">
        <f>E29/D29*100</f>
        <v>83.941605839416056</v>
      </c>
      <c r="G29" s="116">
        <f t="shared" si="15"/>
        <v>464</v>
      </c>
      <c r="H29" s="119">
        <f t="shared" si="1"/>
        <v>37.631792376317925</v>
      </c>
      <c r="I29" s="142"/>
      <c r="J29" s="111"/>
      <c r="K29" s="124">
        <f>SUM(K25:K28)</f>
        <v>464</v>
      </c>
      <c r="L29" s="125">
        <f>SUM(L25:L28)</f>
        <v>5703808</v>
      </c>
      <c r="M29" s="125">
        <f>SUM(M25:M28)</f>
        <v>1092210</v>
      </c>
      <c r="N29" s="129">
        <f>SUM(N25:N28)</f>
        <v>6796018</v>
      </c>
      <c r="O29" s="111"/>
      <c r="P29" s="124">
        <f>SUM(P25:P28)</f>
        <v>1233</v>
      </c>
      <c r="Q29" s="125">
        <f t="shared" ref="Q29" si="16">SUM(Q25:Q28)</f>
        <v>685.5</v>
      </c>
      <c r="R29" s="125">
        <f>SUM(R25:R28)</f>
        <v>464</v>
      </c>
      <c r="S29" s="125">
        <f>SUM(S25:S28)</f>
        <v>5703807</v>
      </c>
      <c r="T29" s="125">
        <f>SUM(T25:T28)</f>
        <v>1480160</v>
      </c>
      <c r="U29" s="129">
        <f>SUM(U25:U28)</f>
        <v>7183967</v>
      </c>
      <c r="V29" s="140"/>
      <c r="W29" s="140"/>
    </row>
    <row r="30" spans="2:23" ht="11.25" customHeight="1" thickTop="1" x14ac:dyDescent="0.2">
      <c r="B30" s="148"/>
      <c r="C30" s="148"/>
      <c r="D30" s="114"/>
      <c r="E30" s="114"/>
      <c r="F30" s="117"/>
      <c r="G30" s="114"/>
      <c r="H30" s="117"/>
      <c r="I30" s="117"/>
      <c r="J30" s="110"/>
      <c r="K30" s="102"/>
      <c r="L30" s="102"/>
      <c r="M30" s="102"/>
      <c r="N30" s="140"/>
      <c r="P30" s="102"/>
      <c r="Q30" s="102"/>
      <c r="R30" s="102"/>
      <c r="S30" s="102"/>
      <c r="T30" s="102"/>
      <c r="U30" s="140"/>
      <c r="V30" s="140"/>
      <c r="W30" s="140"/>
    </row>
    <row r="31" spans="2:23" x14ac:dyDescent="0.2">
      <c r="C31" s="108"/>
      <c r="D31" s="1"/>
      <c r="K31" s="106"/>
      <c r="L31" s="104" t="s">
        <v>98</v>
      </c>
      <c r="M31" s="104"/>
      <c r="N31" s="104"/>
      <c r="P31" s="105">
        <v>100</v>
      </c>
      <c r="Q31" s="104" t="s">
        <v>99</v>
      </c>
      <c r="R31" s="104"/>
      <c r="S31" s="104"/>
      <c r="V31" s="104"/>
      <c r="W31" s="152"/>
    </row>
    <row r="32" spans="2:23" x14ac:dyDescent="0.2">
      <c r="K32" s="106">
        <f>L9</f>
        <v>202752</v>
      </c>
      <c r="L32" s="104" t="s">
        <v>97</v>
      </c>
      <c r="M32" s="104"/>
      <c r="N32" s="104"/>
      <c r="P32" s="105">
        <f>P33*12</f>
        <v>147512.25</v>
      </c>
      <c r="Q32" s="104" t="s">
        <v>104</v>
      </c>
      <c r="R32" s="104"/>
      <c r="S32" s="104"/>
      <c r="V32" s="104"/>
      <c r="W32" s="152"/>
    </row>
    <row r="33" spans="3:23" x14ac:dyDescent="0.2">
      <c r="K33" s="105">
        <v>11944</v>
      </c>
      <c r="L33" s="165" t="s">
        <v>74</v>
      </c>
      <c r="M33" s="165"/>
      <c r="N33" s="165"/>
      <c r="P33" s="105">
        <f>P35/P34</f>
        <v>12292.6875</v>
      </c>
      <c r="Q33" s="146" t="s">
        <v>74</v>
      </c>
      <c r="R33" s="146"/>
      <c r="S33" s="146"/>
      <c r="V33" s="145"/>
      <c r="W33" s="153"/>
    </row>
    <row r="34" spans="3:23" x14ac:dyDescent="0.2">
      <c r="K34" s="105">
        <f>K29</f>
        <v>464</v>
      </c>
      <c r="L34" s="165" t="s">
        <v>100</v>
      </c>
      <c r="M34" s="165"/>
      <c r="N34" s="165"/>
      <c r="P34" s="105">
        <f>R29</f>
        <v>464</v>
      </c>
      <c r="Q34" s="146" t="s">
        <v>100</v>
      </c>
      <c r="R34" s="146"/>
      <c r="S34" s="146"/>
      <c r="V34" s="145"/>
      <c r="W34" s="153"/>
    </row>
    <row r="35" spans="3:23" x14ac:dyDescent="0.2">
      <c r="K35" s="105">
        <f>$D$46</f>
        <v>5703807</v>
      </c>
      <c r="L35" s="165" t="s">
        <v>101</v>
      </c>
      <c r="M35" s="165"/>
      <c r="N35" s="165"/>
      <c r="P35" s="105">
        <f>$D$46</f>
        <v>5703807</v>
      </c>
      <c r="Q35" s="146" t="s">
        <v>101</v>
      </c>
      <c r="R35" s="146"/>
      <c r="S35" s="146"/>
      <c r="V35" s="145"/>
      <c r="W35" s="153"/>
    </row>
    <row r="36" spans="3:23" x14ac:dyDescent="0.2">
      <c r="K36" s="106"/>
      <c r="L36" s="165"/>
      <c r="M36" s="165"/>
      <c r="N36" s="165"/>
      <c r="P36" s="106"/>
      <c r="Q36" s="104" t="s">
        <v>102</v>
      </c>
      <c r="R36" s="146"/>
      <c r="S36" s="146"/>
      <c r="V36" s="145"/>
      <c r="W36" s="153"/>
    </row>
    <row r="37" spans="3:23" x14ac:dyDescent="0.2">
      <c r="K37" s="104"/>
      <c r="L37" s="104"/>
      <c r="M37" s="104"/>
      <c r="N37" s="104"/>
      <c r="P37" s="106"/>
      <c r="Q37" s="106"/>
      <c r="R37" s="106"/>
      <c r="S37" s="146"/>
      <c r="T37" s="146"/>
      <c r="U37" s="146"/>
      <c r="V37" s="145"/>
      <c r="W37" s="153"/>
    </row>
    <row r="38" spans="3:23" hidden="1" x14ac:dyDescent="0.2">
      <c r="C38" s="108" t="s">
        <v>40</v>
      </c>
      <c r="D38" s="1">
        <f>11311*1.0131*1.0095*1.0213*1.011</f>
        <v>11944.394215846884</v>
      </c>
      <c r="K38" s="104"/>
      <c r="L38" s="104"/>
      <c r="M38" s="104"/>
      <c r="N38" s="104"/>
      <c r="P38" s="104"/>
      <c r="Q38" s="104"/>
      <c r="R38" s="104"/>
      <c r="S38" s="104"/>
      <c r="T38" s="104"/>
      <c r="U38" s="104"/>
      <c r="V38" s="104"/>
      <c r="W38" s="152"/>
    </row>
    <row r="39" spans="3:23" hidden="1" x14ac:dyDescent="0.2">
      <c r="D39" s="1"/>
      <c r="K39" s="104"/>
      <c r="L39" s="104"/>
      <c r="M39" s="104"/>
      <c r="N39" s="104"/>
      <c r="P39" s="104"/>
      <c r="Q39" s="104"/>
      <c r="R39" s="104"/>
      <c r="S39" s="104"/>
      <c r="T39" s="104"/>
      <c r="U39" s="104"/>
      <c r="V39" s="104"/>
      <c r="W39" s="152"/>
    </row>
    <row r="40" spans="3:23" hidden="1" x14ac:dyDescent="0.2">
      <c r="C40" s="108" t="s">
        <v>41</v>
      </c>
      <c r="D40" s="1">
        <f>192000*1.0131*1.0095*1.0213*1.011</f>
        <v>202751.63022213793</v>
      </c>
      <c r="E40" s="141" t="s">
        <v>88</v>
      </c>
      <c r="K40" s="104"/>
      <c r="L40" s="104"/>
      <c r="M40" s="104"/>
      <c r="N40" s="104"/>
      <c r="P40" s="104"/>
      <c r="Q40" s="104"/>
      <c r="R40" s="104"/>
      <c r="S40" s="104"/>
      <c r="T40" s="104"/>
      <c r="U40" s="104"/>
      <c r="V40" s="104"/>
      <c r="W40" s="152"/>
    </row>
    <row r="41" spans="3:23" hidden="1" x14ac:dyDescent="0.2">
      <c r="D41" s="1"/>
      <c r="K41" s="104"/>
      <c r="L41" s="104"/>
      <c r="M41" s="104"/>
      <c r="N41" s="104"/>
      <c r="P41" s="104"/>
      <c r="Q41" s="104"/>
      <c r="R41" s="104"/>
      <c r="S41" s="104"/>
      <c r="T41" s="104"/>
      <c r="U41" s="104"/>
      <c r="V41" s="104"/>
      <c r="W41" s="152"/>
    </row>
    <row r="42" spans="3:23" hidden="1" x14ac:dyDescent="0.2">
      <c r="C42" s="123" t="s">
        <v>48</v>
      </c>
      <c r="D42" s="1"/>
      <c r="K42" s="104"/>
      <c r="L42" s="104"/>
      <c r="M42" s="104"/>
      <c r="N42" s="104"/>
      <c r="P42" s="104"/>
      <c r="Q42" s="104"/>
      <c r="R42" s="104"/>
      <c r="S42" s="104"/>
      <c r="T42" s="104"/>
      <c r="U42" s="104"/>
      <c r="V42" s="104"/>
      <c r="W42" s="152"/>
    </row>
    <row r="43" spans="3:23" hidden="1" x14ac:dyDescent="0.2">
      <c r="C43" s="71" t="s">
        <v>1</v>
      </c>
      <c r="D43" s="1">
        <f>6072299+263209</f>
        <v>6335508</v>
      </c>
    </row>
    <row r="44" spans="3:23" hidden="1" x14ac:dyDescent="0.2">
      <c r="C44" s="71" t="s">
        <v>82</v>
      </c>
      <c r="D44" s="1">
        <v>0</v>
      </c>
    </row>
    <row r="45" spans="3:23" hidden="1" x14ac:dyDescent="0.2">
      <c r="C45" s="71" t="s">
        <v>83</v>
      </c>
      <c r="D45" s="1">
        <v>-631701</v>
      </c>
    </row>
    <row r="46" spans="3:23" ht="13.5" hidden="1" thickBot="1" x14ac:dyDescent="0.25">
      <c r="C46" s="108" t="s">
        <v>84</v>
      </c>
      <c r="D46" s="2">
        <f>SUM(D43:D45)</f>
        <v>5703807</v>
      </c>
    </row>
    <row r="47" spans="3:23" ht="26.25" hidden="1" thickTop="1" x14ac:dyDescent="0.2">
      <c r="C47" s="143" t="s">
        <v>89</v>
      </c>
      <c r="D47" s="1">
        <v>1666840</v>
      </c>
    </row>
    <row r="48" spans="3:23" hidden="1" x14ac:dyDescent="0.2">
      <c r="C48" s="108" t="s">
        <v>85</v>
      </c>
      <c r="D48" s="144">
        <f>D46-D47</f>
        <v>4036967</v>
      </c>
    </row>
    <row r="49" hidden="1" x14ac:dyDescent="0.2"/>
  </sheetData>
  <mergeCells count="11">
    <mergeCell ref="P3:U3"/>
    <mergeCell ref="B4:C4"/>
    <mergeCell ref="B25:C25"/>
    <mergeCell ref="B29:C29"/>
    <mergeCell ref="K3:N3"/>
    <mergeCell ref="L36:N36"/>
    <mergeCell ref="L35:N35"/>
    <mergeCell ref="L34:N34"/>
    <mergeCell ref="E4:F4"/>
    <mergeCell ref="G4:H4"/>
    <mergeCell ref="L33:N33"/>
  </mergeCells>
  <pageMargins left="3.937007874015748E-2" right="3.937007874015748E-2" top="0.31496062992125984" bottom="0.31496062992125984" header="0.31496062992125984" footer="0.11811023622047245"/>
  <pageSetup paperSize="9" scale="89" orientation="landscape" r:id="rId1"/>
  <headerFooter>
    <oddFooter>&amp;L&amp;Z&amp;F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LevelName xmlns="d08b57ff-b9b7-4581-975d-98f87b579a51">Åben</AccessLevelName>
    <SortOrder xmlns="d08b57ff-b9b7-4581-975d-98f87b579a51">1</SortOrder>
    <MeetingStartDate xmlns="d08b57ff-b9b7-4581-975d-98f87b579a51">2018-06-12T11:00:00+00:00</MeetingStartDate>
    <EnclosureFileNumber xmlns="d08b57ff-b9b7-4581-975d-98f87b579a51">79030/18</EnclosureFileNumber>
    <AgendaId xmlns="d08b57ff-b9b7-4581-975d-98f87b579a51">8499</AgendaId>
    <AccessLevel xmlns="d08b57ff-b9b7-4581-975d-98f87b579a51">1</AccessLevel>
    <EnclosureType xmlns="d08b57ff-b9b7-4581-975d-98f87b579a51">Enclosure</EnclosureType>
    <CommitteeName xmlns="d08b57ff-b9b7-4581-975d-98f87b579a51">Udvalget for Børn og Læring</CommitteeName>
    <FusionId xmlns="d08b57ff-b9b7-4581-975d-98f87b579a51">2904242</FusionId>
    <AgendaAccessLevelName xmlns="d08b57ff-b9b7-4581-975d-98f87b579a51">Åben</AgendaAccessLevelName>
    <UNC xmlns="d08b57ff-b9b7-4581-975d-98f87b579a51">2643001</UNC>
    <MeetingTitle xmlns="d08b57ff-b9b7-4581-975d-98f87b579a51">12-06-2018</MeetingTitle>
    <MeetingDateAndTime xmlns="d08b57ff-b9b7-4581-975d-98f87b579a51">12-06-2018 fra 13:00 - 16:50</MeetingDateAndTime>
    <MeetingEndDate xmlns="d08b57ff-b9b7-4581-975d-98f87b579a51">2018-06-12T14:50:00+00:00</MeetingEndDate>
    <PWDescription xmlns="d08b57ff-b9b7-4581-975d-98f87b579a51">Model 1 - Juniorklubber - forslag til  tildelingsmodel fra august 2018</PWDescription>
    <PWFileType xmlns="d08b57ff-b9b7-4581-975d-98f87b579a51">.XLSX</PWFileType>
    <DocumentType xmlns="d08b57ff-b9b7-4581-975d-98f87b579a51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Bilag" ma:contentTypeID="0x0101003D7BFBD5F481E14985D820F2A1C38BC800C867DCA9723D5D41B98144D00A8161C2" ma:contentTypeVersion="2" ma:contentTypeDescription="Dagsorden bilag" ma:contentTypeScope="" ma:versionID="dc4b2200aa01ff2cec3560a1e5cd1ce9">
  <xsd:schema xmlns:xsd="http://www.w3.org/2001/XMLSchema" xmlns:xs="http://www.w3.org/2001/XMLSchema" xmlns:p="http://schemas.microsoft.com/office/2006/metadata/properties" xmlns:ns2="d08b57ff-b9b7-4581-975d-98f87b579a51" targetNamespace="http://schemas.microsoft.com/office/2006/metadata/properties" ma:root="true" ma:fieldsID="6cca6190432251c5553adde0b5d4de3b" ns2:_="">
    <xsd:import namespace="d08b57ff-b9b7-4581-975d-98f87b579a51"/>
    <xsd:element name="properties">
      <xsd:complexType>
        <xsd:sequence>
          <xsd:element name="documentManagement">
            <xsd:complexType>
              <xsd:all>
                <xsd:element ref="ns2:CommitteeName"/>
                <xsd:element ref="ns2:MeetingTitle"/>
                <xsd:element ref="ns2:MeetingStartDate"/>
                <xsd:element ref="ns2:MeetingEndDate"/>
                <xsd:element ref="ns2:MeetingDateAndTime"/>
                <xsd:element ref="ns2:AgendaId"/>
                <xsd:element ref="ns2:AccessLevel"/>
                <xsd:element ref="ns2:AccessLevelName"/>
                <xsd:element ref="ns2:AgendaAccessLevelName"/>
                <xsd:element ref="ns2:UNC"/>
                <xsd:element ref="ns2:PWDescription"/>
                <xsd:element ref="ns2:FusionId"/>
                <xsd:element ref="ns2:PWFileType"/>
                <xsd:element ref="ns2:SortOrder"/>
                <xsd:element ref="ns2:EnclosureFileNumber"/>
                <xsd:element ref="ns2:EnclosureType"/>
                <xsd:element ref="ns2:Document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8b57ff-b9b7-4581-975d-98f87b579a51" elementFormDefault="qualified">
    <xsd:import namespace="http://schemas.microsoft.com/office/2006/documentManagement/types"/>
    <xsd:import namespace="http://schemas.microsoft.com/office/infopath/2007/PartnerControls"/>
    <xsd:element name="CommitteeName" ma:index="8" ma:displayName="Udvalgsnavn" ma:description="Udvalgsnavn" ma:internalName="CommitteeName">
      <xsd:simpleType>
        <xsd:restriction base="dms:Text"/>
      </xsd:simpleType>
    </xsd:element>
    <xsd:element name="MeetingTitle" ma:index="9" ma:displayName="Mødetitel" ma:description="Fuld mødetitel inkl. mødetidspunkt" ma:hidden="true" ma:internalName="MeetingTitle">
      <xsd:simpleType>
        <xsd:restriction base="dms:Text"/>
      </xsd:simpleType>
    </xsd:element>
    <xsd:element name="MeetingStartDate" ma:index="10" ma:displayName="Mødestart" ma:description="Startdato og tidspunkt for møde" ma:format="DateTime" ma:indexed="true" ma:internalName="MeetingStartDate">
      <xsd:simpleType>
        <xsd:restriction base="dms:DateTime"/>
      </xsd:simpleType>
    </xsd:element>
    <xsd:element name="MeetingEndDate" ma:index="11" ma:displayName="Mødeslut" ma:description="Slutdato og tidspunkt for møde" ma:format="DateTime" ma:internalName="MeetingEndDate">
      <xsd:simpleType>
        <xsd:restriction base="dms:DateTime"/>
      </xsd:simpleType>
    </xsd:element>
    <xsd:element name="MeetingDateAndTime" ma:index="12" ma:displayName="Mødedato og tid" ma:description="Sammensat felt med mødedato samt start og slut tid" ma:internalName="MeetingDateAndTime">
      <xsd:simpleType>
        <xsd:restriction base="dms:Text"/>
      </xsd:simpleType>
    </xsd:element>
    <xsd:element name="AgendaId" ma:index="13" ma:displayName="Dagsorden id" ma:description="Dagsorden id fra Acadre MM" ma:internalName="AgendaId">
      <xsd:simpleType>
        <xsd:restriction base="dms:Unknown"/>
      </xsd:simpleType>
    </xsd:element>
    <xsd:element name="AccessLevel" ma:index="14" ma:displayName="Adgangsniveau" ma:description="Adgangsniveau for dagsorden, bilag eller sagsakt" ma:hidden="true" ma:internalName="AccessLevel">
      <xsd:simpleType>
        <xsd:restriction base="dms:Unknown"/>
      </xsd:simpleType>
    </xsd:element>
    <xsd:element name="AccessLevelName" ma:index="15" ma:displayName="Adgang" ma:description="Adgangsniveau for dagsorden, bilag eller sagsakt" ma:hidden="true" ma:internalName="AccessLevelName">
      <xsd:simpleType>
        <xsd:restriction base="dms:Text"/>
      </xsd:simpleType>
    </xsd:element>
    <xsd:element name="AgendaAccessLevelName" ma:index="16" ma:displayName="Dagsorden adgang" ma:description="Dagsordenmappe adgangsnavn" ma:internalName="AgendaAccessLevelName">
      <xsd:simpleType>
        <xsd:restriction base="dms:Text"/>
      </xsd:simpleType>
    </xsd:element>
    <xsd:element name="UNC" ma:index="17" ma:displayName="Bilagsid" ma:description="Bilagsid fra CM" ma:internalName="UNC">
      <xsd:simpleType>
        <xsd:restriction base="dms:Unknown"/>
      </xsd:simpleType>
    </xsd:element>
    <xsd:element name="PWDescription" ma:index="18" ma:displayName="Beskrivelse" ma:description="Generel beskrivelse" ma:internalName="PWDescription">
      <xsd:simpleType>
        <xsd:restriction base="dms:Note">
          <xsd:maxLength value="255"/>
        </xsd:restriction>
      </xsd:simpleType>
    </xsd:element>
    <xsd:element name="FusionId" ma:index="19" ma:displayName="Fusionid" ma:description="Fusionid for bilag og sagsindblik" ma:internalName="FusionId">
      <xsd:simpleType>
        <xsd:restriction base="dms:Unknown"/>
      </xsd:simpleType>
    </xsd:element>
    <xsd:element name="PWFileType" ma:index="20" ma:displayName="Filtype" ma:description="Filtype for dagsorden, bilag og sagsindblik" ma:internalName="PWFileType">
      <xsd:simpleType>
        <xsd:restriction base="dms:Text"/>
      </xsd:simpleType>
    </xsd:element>
    <xsd:element name="SortOrder" ma:index="21" ma:displayName="Sorteringsrækkefølge" ma:description="Sorteringsrækkefølge fra Acadre MM" ma:internalName="SortOrder">
      <xsd:simpleType>
        <xsd:restriction base="dms:Unknown"/>
      </xsd:simpleType>
    </xsd:element>
    <xsd:element name="EnclosureFileNumber" ma:index="22" ma:displayName="Bilagsnummer" ma:description="Fil-/journalnummer for bilag" ma:internalName="EnclosureFileNumber">
      <xsd:simpleType>
        <xsd:restriction base="dms:Text"/>
      </xsd:simpleType>
    </xsd:element>
    <xsd:element name="EnclosureType" ma:index="23" ma:displayName="Bilagstype" ma:description="Bilagstype" ma:internalName="EnclosureType">
      <xsd:simpleType>
        <xsd:restriction base="dms:Text"/>
      </xsd:simpleType>
    </xsd:element>
    <xsd:element name="DocumentType" ma:index="24" ma:displayName="Dokument Type" ma:description="Indeholder samme værdi som Content Type, med kan benyttes i diverse filtre" ma:hidden="true" ma:internalName="DocumentTyp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33561EA-7B91-432E-80D3-185D64658A43}"/>
</file>

<file path=customXml/itemProps2.xml><?xml version="1.0" encoding="utf-8"?>
<ds:datastoreItem xmlns:ds="http://schemas.openxmlformats.org/officeDocument/2006/customXml" ds:itemID="{763C9206-4BA1-496B-8720-CCD2525E1271}"/>
</file>

<file path=customXml/itemProps3.xml><?xml version="1.0" encoding="utf-8"?>
<ds:datastoreItem xmlns:ds="http://schemas.openxmlformats.org/officeDocument/2006/customXml" ds:itemID="{DBC7DE35-512D-43A3-9969-FDB3D492E33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Jr. Beregning Opr.</vt:lpstr>
      <vt:lpstr>Jr. Beregning Ny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-12-06-2018 - Bilag 86.01 Model 1 - Juniorklubber - forslag til  tildelingsmodel fra august 2018</dc:title>
  <dc:creator>Lissy Andersen</dc:creator>
  <cp:lastModifiedBy>Jette Poulsen</cp:lastModifiedBy>
  <cp:lastPrinted>2018-05-28T08:35:30Z</cp:lastPrinted>
  <dcterms:created xsi:type="dcterms:W3CDTF">1996-11-12T13:28:11Z</dcterms:created>
  <dcterms:modified xsi:type="dcterms:W3CDTF">2018-05-28T08:35:32Z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fficeInstanceGUID">
    <vt:lpwstr>{DB28D832-3202-4C38-8683-2F7902C43F80}</vt:lpwstr>
  </property>
  <property fmtid="{D5CDD505-2E9C-101B-9397-08002B2CF9AE}" pid="3" name="ContentTypeId">
    <vt:lpwstr>0x0101003D7BFBD5F481E14985D820F2A1C38BC800C867DCA9723D5D41B98144D00A8161C2</vt:lpwstr>
  </property>
</Properties>
</file>